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915" activeTab="0"/>
  </bookViews>
  <sheets>
    <sheet name="PASSIONFRUIT  V1.1, 20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NSW Agriculture Client</author>
  </authors>
  <commentList>
    <comment ref="B13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Enter the percentage (%) of fertiliser likely to be lost by leaching or fixation.</t>
        </r>
      </text>
    </comment>
    <comment ref="B4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Enter variety, block details, plant age, row spacing (in metres) and yield in packages per plant.</t>
        </r>
      </text>
    </comment>
    <comment ref="B10" authorId="0">
      <text>
        <r>
          <rPr>
            <sz val="11"/>
            <rFont val="Tahoma"/>
            <family val="2"/>
          </rPr>
          <t>Yield is an estimate of packages per plant.
The tray weight can be changed by going to Package weight (kg).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sz val="11"/>
            <rFont val="Tahoma"/>
            <family val="2"/>
          </rPr>
          <t>Enter the % of elemental nutrients.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
For example: 
Urea contains 46% nitrogen
Single superphosphate contains 9% phoshorous  Sulphate of potassium contains 41% potassium.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sz val="11"/>
            <rFont val="Tahoma"/>
            <family val="2"/>
          </rPr>
          <t xml:space="preserve">Enter the nutrient %  of the N:P:K mixed fertiliser. 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sz val="11"/>
            <rFont val="Tahoma"/>
            <family val="2"/>
          </rPr>
          <t xml:space="preserve">Fertigation is more efficient than ground application leading to fertiliser savings. This section allows a variation in the rate of application. 
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sz val="11"/>
            <rFont val="Tahoma"/>
            <family val="2"/>
          </rPr>
          <t xml:space="preserve">This section can be changed to growth stages such as flowering, fruit set, fruit shedding leaf flush hardening or any other descriptive terms. 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sz val="11"/>
            <rFont val="Tahoma"/>
            <family val="2"/>
          </rPr>
          <t>Reference:
Huett, D.O., &amp; J.F. Dirou (2000). An evaluation of the rationale for fertiliser management of tropical fruit crops. Australian Journal of Experimental Agriculture, 40, 1137-1143.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<sst xmlns="http://schemas.openxmlformats.org/spreadsheetml/2006/main" count="104" uniqueCount="69">
  <si>
    <t>Variety</t>
  </si>
  <si>
    <t>Age (Years)</t>
  </si>
  <si>
    <t>Between row spacing (m)</t>
  </si>
  <si>
    <t>NR (leaf, shoots &amp; roots) - kg/ha</t>
  </si>
  <si>
    <t>Within row spacing (m)</t>
  </si>
  <si>
    <t>Nitrogen</t>
  </si>
  <si>
    <t>Phosphorus</t>
  </si>
  <si>
    <t>Potassium</t>
  </si>
  <si>
    <t>Calcium</t>
  </si>
  <si>
    <t>Magnesium</t>
  </si>
  <si>
    <t>Leaching/fixation factor</t>
  </si>
  <si>
    <t>Nitrogen (%)</t>
  </si>
  <si>
    <t>Phosphorus (%)</t>
  </si>
  <si>
    <t>Potassium (%)</t>
  </si>
  <si>
    <t>Calculations</t>
  </si>
  <si>
    <t>Yield (tonnes/ha)</t>
  </si>
  <si>
    <t>Nutrient Requirements</t>
  </si>
  <si>
    <t>(%)</t>
  </si>
  <si>
    <t>(kg/ha)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</si>
  <si>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</si>
  <si>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</si>
  <si>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</si>
  <si>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</si>
  <si>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</si>
  <si>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</si>
  <si>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</si>
  <si>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</si>
  <si>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</si>
  <si>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</si>
  <si>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</si>
  <si>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</si>
  <si>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</si>
  <si>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Calcium (%)</t>
  </si>
  <si>
    <t>Magnesium (%)</t>
  </si>
  <si>
    <t>Nutrient Replacement (kg/ha)</t>
  </si>
  <si>
    <t>Fruit Only</t>
  </si>
  <si>
    <t>Estimated Total</t>
  </si>
  <si>
    <t>Block</t>
  </si>
  <si>
    <t>House</t>
  </si>
  <si>
    <t>Fertiliser Calculator</t>
  </si>
  <si>
    <t>Potassium (K)</t>
  </si>
  <si>
    <t>Phosphorus (P)</t>
  </si>
  <si>
    <t>Nitrogen (N)</t>
  </si>
  <si>
    <t>Replacement</t>
  </si>
  <si>
    <t>Rate (kg/ha)</t>
  </si>
  <si>
    <t>Amount of Fertiliser</t>
  </si>
  <si>
    <t>Authors: John Slack &amp; John Dirou</t>
  </si>
  <si>
    <t>N:P:K</t>
  </si>
  <si>
    <t>(Using straight fertiliser)</t>
  </si>
  <si>
    <t>(Using N:P:K fertiliser)</t>
  </si>
  <si>
    <t>Report date</t>
  </si>
  <si>
    <t>Package weight (kg)</t>
  </si>
  <si>
    <t>Plant density/ha</t>
  </si>
  <si>
    <t>Nutrient removal (g/25kg)</t>
  </si>
  <si>
    <t>Fruit</t>
  </si>
  <si>
    <t>OPF</t>
  </si>
  <si>
    <t>Application (%)</t>
  </si>
  <si>
    <t>OPF (kg/ha)</t>
  </si>
  <si>
    <t>Nutrient</t>
  </si>
  <si>
    <t>kg/ha</t>
  </si>
  <si>
    <t>kg/plant</t>
  </si>
  <si>
    <t>Calcium (Ca)</t>
  </si>
  <si>
    <t>Magnesium (Mg)</t>
  </si>
  <si>
    <t>Yield (packages/plant)</t>
  </si>
  <si>
    <t>Fertigation Rate (%)</t>
  </si>
  <si>
    <t>Fertiliser Schedule Month/Growth Stage</t>
  </si>
  <si>
    <t>PASSIONFRUIT FERTILISER GUIDE (Using crop replacement data)</t>
  </si>
  <si>
    <t>AV1</t>
  </si>
  <si>
    <t>Version 1.1, October 2004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</si>
</sst>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  <numFmt numFmtId="177" formatCode="0.0"/>
    <numFmt numFmtId="178" formatCode="0.000"/>
    <numFmt numFmtId="179" formatCode="0.0000"/>
    <numFmt numFmtId="180" formatCode="0.0%"/>
    <numFmt numFmtId="181" formatCode="0.000%"/>
    <numFmt numFmtId="182" formatCode="0.0000%"/>
    <numFmt numFmtId="183" formatCode="0.0000000"/>
    <numFmt numFmtId="184" formatCode="0.000000"/>
    <numFmt numFmtId="185" formatCode="0.00000"/>
    <numFmt numFmtId="186" formatCode="0.00000000"/>
  </numFmts>
  <fonts count="24">
    <font>
      <sz val="12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8"/>
      <color indexed="24"/>
      <name val="Arial"/>
      <family val="0"/>
    </font>
    <font>
      <sz val="8"/>
      <color indexed="24"/>
      <name val="Arial"/>
      <family val="0"/>
    </font>
    <font>
      <i/>
      <sz val="12"/>
      <color indexed="24"/>
      <name val="Arial"/>
      <family val="0"/>
    </font>
    <font>
      <sz val="12"/>
      <color indexed="24"/>
      <name val="Times New Roman"/>
      <family val="0"/>
    </font>
    <font>
      <sz val="18"/>
      <color indexed="24"/>
      <name val="Times New Roman"/>
      <family val="0"/>
    </font>
    <font>
      <sz val="8"/>
      <color indexed="24"/>
      <name val="Times New Roman"/>
      <family val="0"/>
    </font>
    <font>
      <i/>
      <sz val="12"/>
      <color indexed="24"/>
      <name val="Times New Roman"/>
      <family val="0"/>
    </font>
    <font>
      <b/>
      <i/>
      <sz val="12"/>
      <color indexed="24"/>
      <name val="Arial"/>
      <family val="0"/>
    </font>
    <font>
      <b/>
      <sz val="8"/>
      <name val="Arial"/>
      <family val="0"/>
    </font>
    <font>
      <sz val="12"/>
      <color indexed="10"/>
      <name val="Arial"/>
      <family val="2"/>
    </font>
    <font>
      <sz val="10"/>
      <color indexed="24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Protection="0">
      <alignment/>
    </xf>
    <xf numFmtId="174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2" fontId="0" fillId="0" borderId="0" applyProtection="0">
      <alignment/>
    </xf>
    <xf numFmtId="0" fontId="1" fillId="0" borderId="0" applyProtection="0">
      <alignment/>
    </xf>
    <xf numFmtId="0" fontId="2" fillId="0" borderId="0" applyProtection="0">
      <alignment/>
    </xf>
    <xf numFmtId="10" fontId="0" fillId="0" borderId="0" applyProtection="0">
      <alignment/>
    </xf>
    <xf numFmtId="0" fontId="0" fillId="0" borderId="1" applyProtection="0">
      <alignment/>
    </xf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177" fontId="12" fillId="0" borderId="11" xfId="0" applyNumberFormat="1" applyFont="1" applyBorder="1" applyAlignment="1">
      <alignment/>
    </xf>
    <xf numFmtId="15" fontId="12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/>
      <protection locked="0"/>
    </xf>
    <xf numFmtId="177" fontId="0" fillId="0" borderId="12" xfId="0" applyNumberFormat="1" applyBorder="1" applyAlignment="1" applyProtection="1">
      <alignment/>
      <protection hidden="1"/>
    </xf>
    <xf numFmtId="1" fontId="0" fillId="0" borderId="0" xfId="0" applyNumberForma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77" fontId="0" fillId="0" borderId="0" xfId="0" applyNumberFormat="1" applyBorder="1" applyAlignment="1">
      <alignment horizontal="center"/>
    </xf>
    <xf numFmtId="0" fontId="12" fillId="0" borderId="19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9" xfId="0" applyBorder="1" applyAlignment="1">
      <alignment/>
    </xf>
    <xf numFmtId="0" fontId="2" fillId="0" borderId="20" xfId="0" applyFon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0" fontId="2" fillId="0" borderId="20" xfId="0" applyFont="1" applyBorder="1" applyAlignment="1">
      <alignment horizontal="right"/>
    </xf>
    <xf numFmtId="177" fontId="12" fillId="0" borderId="21" xfId="0" applyNumberFormat="1" applyFont="1" applyBorder="1" applyAlignment="1">
      <alignment horizontal="right"/>
    </xf>
    <xf numFmtId="177" fontId="12" fillId="0" borderId="22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8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6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1" fontId="19" fillId="0" borderId="24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/>
    </xf>
    <xf numFmtId="1" fontId="19" fillId="0" borderId="25" xfId="0" applyNumberFormat="1" applyFont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1" fontId="19" fillId="0" borderId="32" xfId="0" applyNumberFormat="1" applyFont="1" applyBorder="1" applyAlignment="1">
      <alignment horizontal="center"/>
    </xf>
    <xf numFmtId="0" fontId="21" fillId="0" borderId="33" xfId="0" applyFont="1" applyBorder="1" applyAlignment="1">
      <alignment/>
    </xf>
    <xf numFmtId="1" fontId="21" fillId="0" borderId="34" xfId="28" applyNumberFormat="1" applyFont="1" applyBorder="1" applyAlignment="1">
      <alignment horizontal="center"/>
    </xf>
    <xf numFmtId="1" fontId="21" fillId="0" borderId="35" xfId="0" applyNumberFormat="1" applyFont="1" applyBorder="1" applyAlignment="1">
      <alignment horizontal="center"/>
    </xf>
    <xf numFmtId="1" fontId="21" fillId="0" borderId="36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8" xfId="0" applyFont="1" applyBorder="1" applyAlignment="1">
      <alignment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77" fontId="19" fillId="0" borderId="19" xfId="0" applyNumberFormat="1" applyFont="1" applyBorder="1" applyAlignment="1">
      <alignment horizontal="center"/>
    </xf>
    <xf numFmtId="1" fontId="19" fillId="0" borderId="30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177" fontId="19" fillId="0" borderId="29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" fontId="19" fillId="0" borderId="43" xfId="0" applyNumberFormat="1" applyFont="1" applyBorder="1" applyAlignment="1">
      <alignment horizontal="center"/>
    </xf>
    <xf numFmtId="177" fontId="19" fillId="0" borderId="44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41" xfId="0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37" xfId="0" applyFont="1" applyBorder="1" applyAlignment="1">
      <alignment wrapText="1"/>
    </xf>
    <xf numFmtId="0" fontId="19" fillId="0" borderId="38" xfId="0" applyFont="1" applyBorder="1" applyAlignment="1">
      <alignment wrapText="1"/>
    </xf>
    <xf numFmtId="1" fontId="21" fillId="0" borderId="39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21" fillId="0" borderId="39" xfId="0" applyFont="1" applyBorder="1" applyAlignment="1">
      <alignment horizontal="center"/>
    </xf>
  </cellXfs>
  <cellStyles count="16">
    <cellStyle name="Normal" xfId="0"/>
    <cellStyle name="Comma" xfId="15"/>
    <cellStyle name="Currency" xfId="16"/>
    <cellStyle name="Date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xed" xfId="25"/>
    <cellStyle name="HEADING1" xfId="26"/>
    <cellStyle name="HEADING2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Crop Replacement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45"/>
          <c:w val="0.96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'PASSIONFRUIT  V1.1, 2004'!$C$25:$C$26</c:f>
              <c:strCache>
                <c:ptCount val="1"/>
                <c:pt idx="0">
                  <c:v>Nutrient Replacement (kg/ha) Fruit Only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'PASSIONFRUIT  V1.1, 2004'!$B$27:$B$31</c:f>
              <c:strCache/>
            </c:strRef>
          </c:cat>
          <c:val>
            <c:numRef>
              <c:f>'PASSIONFRUIT  V1.1, 2004'!$C$27:$C$31</c:f>
              <c:numCache/>
            </c:numRef>
          </c:val>
        </c:ser>
        <c:ser>
          <c:idx val="1"/>
          <c:order val="1"/>
          <c:tx>
            <c:strRef>
              <c:f>'PASSIONFRUIT  V1.1, 2004'!$D$25:$D$26</c:f>
              <c:strCache>
                <c:ptCount val="1"/>
                <c:pt idx="0">
                  <c:v>Nutrient Replacement (kg/ha) Estimated Total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'PASSIONFRUIT  V1.1, 2004'!$B$27:$B$31</c:f>
              <c:strCache/>
            </c:strRef>
          </c:cat>
          <c:val>
            <c:numRef>
              <c:f>'PASSIONFRUIT  V1.1, 2004'!$D$27:$D$31</c:f>
              <c:numCache/>
            </c:numRef>
          </c:val>
        </c:ser>
        <c:axId val="56924571"/>
        <c:axId val="42559092"/>
      </c:barChart>
      <c:catAx>
        <c:axId val="56924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Nutrient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2559092"/>
        <c:crosses val="autoZero"/>
        <c:auto val="0"/>
        <c:lblOffset val="100"/>
        <c:noMultiLvlLbl val="0"/>
      </c:catAx>
      <c:valAx>
        <c:axId val="4255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2457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975"/>
          <c:y val="0.13675"/>
          <c:w val="0.26425"/>
          <c:h val="0.221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190500</xdr:rowOff>
    </xdr:from>
    <xdr:to>
      <xdr:col>8</xdr:col>
      <xdr:colOff>838200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352800" y="676275"/>
        <a:ext cx="58483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304800</xdr:colOff>
      <xdr:row>23</xdr:row>
      <xdr:rowOff>66675</xdr:rowOff>
    </xdr:from>
    <xdr:to>
      <xdr:col>6</xdr:col>
      <xdr:colOff>1066800</xdr:colOff>
      <xdr:row>29</xdr:row>
      <xdr:rowOff>104775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4600575"/>
          <a:ext cx="1571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GridLines="0" tabSelected="1" zoomScale="75" zoomScaleNormal="75" workbookViewId="0" topLeftCell="A1">
      <selection activeCell="D34" sqref="D34"/>
    </sheetView>
  </sheetViews>
  <sheetFormatPr defaultColWidth="8.88671875" defaultRowHeight="15"/>
  <cols>
    <col min="1" max="1" width="2.10546875" style="0" customWidth="1"/>
    <col min="2" max="2" width="22.10546875" style="0" customWidth="1"/>
    <col min="3" max="3" width="13.88671875" style="0" customWidth="1"/>
    <col min="4" max="4" width="13.21484375" style="0" customWidth="1"/>
    <col min="5" max="5" width="13.88671875" style="0" customWidth="1"/>
    <col min="6" max="6" width="9.4453125" style="0" customWidth="1"/>
    <col min="7" max="7" width="13.88671875" style="0" customWidth="1"/>
    <col min="8" max="8" width="8.99609375" style="0" customWidth="1"/>
    <col min="9" max="9" width="13.88671875" style="0" customWidth="1"/>
    <col min="10" max="10" width="8.5546875" style="0" customWidth="1"/>
    <col min="11" max="11" width="13.88671875" style="0" customWidth="1"/>
    <col min="12" max="12" width="8.99609375" style="0" customWidth="1"/>
    <col min="13" max="13" width="11.10546875" style="0" customWidth="1"/>
    <col min="14" max="14" width="8.5546875" style="0" customWidth="1"/>
    <col min="15" max="15" width="9.77734375" style="0" customWidth="1"/>
    <col min="16" max="16" width="10.5546875" style="0" customWidth="1"/>
    <col min="17" max="18" width="9.77734375" style="0" customWidth="1"/>
    <col min="19" max="19" width="18.99609375" style="0" customWidth="1"/>
    <col min="20" max="20" width="11.99609375" style="0" customWidth="1"/>
    <col min="21" max="22" width="9.77734375" style="0" customWidth="1"/>
    <col min="23" max="23" width="10.3359375" style="0" customWidth="1"/>
    <col min="24" max="16384" width="9.77734375" style="0" customWidth="1"/>
  </cols>
  <sheetData>
    <row r="1" ht="15">
      <c r="A1" s="32"/>
    </row>
    <row r="2" ht="23.25">
      <c r="B2" s="52" t="s">
        <v>66</v>
      </c>
    </row>
    <row r="3" spans="2:4" ht="15.75" thickBot="1">
      <c r="B3" s="105"/>
      <c r="C3" s="106"/>
      <c r="D3" s="1"/>
    </row>
    <row r="4" spans="2:13" ht="15.75">
      <c r="B4" s="53" t="s">
        <v>0</v>
      </c>
      <c r="C4" s="12" t="s">
        <v>67</v>
      </c>
      <c r="D4" s="1"/>
      <c r="L4" s="36"/>
      <c r="M4" s="1"/>
    </row>
    <row r="5" spans="2:13" ht="15">
      <c r="B5" s="54" t="s">
        <v>37</v>
      </c>
      <c r="C5" s="13" t="s">
        <v>38</v>
      </c>
      <c r="D5" s="1"/>
      <c r="L5" s="37"/>
      <c r="M5" s="1"/>
    </row>
    <row r="6" spans="2:6" ht="15">
      <c r="B6" s="54" t="s">
        <v>1</v>
      </c>
      <c r="C6" s="14">
        <v>2</v>
      </c>
      <c r="D6" s="1"/>
      <c r="F6" s="11"/>
    </row>
    <row r="7" spans="2:21" ht="15.75">
      <c r="B7" s="54" t="s">
        <v>2</v>
      </c>
      <c r="C7" s="15">
        <v>3</v>
      </c>
      <c r="D7" s="1"/>
      <c r="F7" s="11"/>
      <c r="S7" s="6" t="s">
        <v>3</v>
      </c>
      <c r="T7" s="7"/>
      <c r="U7" s="8"/>
    </row>
    <row r="8" spans="2:21" ht="15">
      <c r="B8" s="54" t="s">
        <v>4</v>
      </c>
      <c r="C8" s="15">
        <v>6</v>
      </c>
      <c r="D8" s="1"/>
      <c r="F8" s="11"/>
      <c r="S8" s="2" t="s">
        <v>5</v>
      </c>
      <c r="T8" s="9">
        <v>0</v>
      </c>
      <c r="U8" s="3"/>
    </row>
    <row r="9" spans="2:21" ht="15">
      <c r="B9" s="55" t="s">
        <v>51</v>
      </c>
      <c r="C9" s="35">
        <v>9</v>
      </c>
      <c r="D9" s="1"/>
      <c r="F9" s="11"/>
      <c r="S9" s="2" t="s">
        <v>6</v>
      </c>
      <c r="T9" s="9">
        <v>0</v>
      </c>
      <c r="U9" s="3"/>
    </row>
    <row r="10" spans="2:21" ht="15">
      <c r="B10" s="54" t="s">
        <v>63</v>
      </c>
      <c r="C10" s="14">
        <v>2.1</v>
      </c>
      <c r="D10" s="1"/>
      <c r="S10" s="2" t="s">
        <v>7</v>
      </c>
      <c r="T10" s="9">
        <v>0</v>
      </c>
      <c r="U10" s="3"/>
    </row>
    <row r="11" spans="2:21" ht="15">
      <c r="B11" s="54" t="s">
        <v>50</v>
      </c>
      <c r="C11" s="16">
        <v>37207</v>
      </c>
      <c r="D11" s="1"/>
      <c r="S11" s="2" t="s">
        <v>8</v>
      </c>
      <c r="T11" s="9">
        <v>0</v>
      </c>
      <c r="U11" s="3"/>
    </row>
    <row r="12" spans="2:21" ht="15">
      <c r="B12" s="54"/>
      <c r="C12" s="13"/>
      <c r="D12" s="1"/>
      <c r="S12" s="4" t="s">
        <v>9</v>
      </c>
      <c r="T12" s="10">
        <v>0</v>
      </c>
      <c r="U12" s="5"/>
    </row>
    <row r="13" spans="2:4" ht="15">
      <c r="B13" s="56" t="s">
        <v>10</v>
      </c>
      <c r="C13" s="17"/>
      <c r="D13" s="1"/>
    </row>
    <row r="14" spans="2:4" ht="15">
      <c r="B14" s="54" t="s">
        <v>11</v>
      </c>
      <c r="C14" s="14">
        <v>40</v>
      </c>
      <c r="D14" s="1"/>
    </row>
    <row r="15" spans="2:23" ht="15.75">
      <c r="B15" s="54" t="s">
        <v>12</v>
      </c>
      <c r="C15" s="14">
        <v>100</v>
      </c>
      <c r="D15" s="1"/>
      <c r="S15" s="6" t="s">
        <v>53</v>
      </c>
      <c r="T15" s="7"/>
      <c r="U15" s="42" t="s">
        <v>54</v>
      </c>
      <c r="V15" s="42" t="s">
        <v>55</v>
      </c>
      <c r="W15" s="39" t="s">
        <v>57</v>
      </c>
    </row>
    <row r="16" spans="2:23" ht="15">
      <c r="B16" s="54" t="s">
        <v>13</v>
      </c>
      <c r="C16" s="14">
        <v>30</v>
      </c>
      <c r="D16" s="1"/>
      <c r="S16" s="2" t="s">
        <v>5</v>
      </c>
      <c r="T16" s="1"/>
      <c r="U16" s="43">
        <v>82.5</v>
      </c>
      <c r="V16" s="43">
        <v>82.5</v>
      </c>
      <c r="W16" s="40">
        <f>($C$22*1000/25)*V16/1000</f>
        <v>34.650000000000006</v>
      </c>
    </row>
    <row r="17" spans="2:23" ht="15">
      <c r="B17" s="54" t="s">
        <v>32</v>
      </c>
      <c r="C17" s="14">
        <v>10</v>
      </c>
      <c r="D17" s="1"/>
      <c r="S17" s="2" t="s">
        <v>6</v>
      </c>
      <c r="T17" s="1"/>
      <c r="U17" s="43">
        <v>10</v>
      </c>
      <c r="V17" s="43">
        <v>10</v>
      </c>
      <c r="W17" s="40">
        <f>($C$22*1000/25)*V17/1000</f>
        <v>4.200000000000001</v>
      </c>
    </row>
    <row r="18" spans="2:23" ht="15">
      <c r="B18" s="54" t="s">
        <v>33</v>
      </c>
      <c r="C18" s="14">
        <v>25</v>
      </c>
      <c r="D18" s="1"/>
      <c r="S18" s="2" t="s">
        <v>7</v>
      </c>
      <c r="T18" s="1"/>
      <c r="U18" s="43">
        <v>107.5</v>
      </c>
      <c r="V18" s="43">
        <v>107.5</v>
      </c>
      <c r="W18" s="40">
        <f>($C$22*1000/25)*V18/1000</f>
        <v>45.150000000000006</v>
      </c>
    </row>
    <row r="19" spans="2:23" ht="15">
      <c r="B19" s="54"/>
      <c r="C19" s="17"/>
      <c r="D19" s="1"/>
      <c r="S19" s="2" t="s">
        <v>8</v>
      </c>
      <c r="T19" s="1"/>
      <c r="U19" s="43">
        <v>7.5</v>
      </c>
      <c r="V19" s="43">
        <v>30</v>
      </c>
      <c r="W19" s="40">
        <f>($C$22*1000/25)*V19/1000</f>
        <v>12.600000000000001</v>
      </c>
    </row>
    <row r="20" spans="2:23" ht="15">
      <c r="B20" s="56" t="s">
        <v>14</v>
      </c>
      <c r="C20" s="17"/>
      <c r="D20" s="1"/>
      <c r="S20" s="4" t="s">
        <v>9</v>
      </c>
      <c r="T20" s="38"/>
      <c r="U20" s="44">
        <v>5</v>
      </c>
      <c r="V20" s="44">
        <v>5</v>
      </c>
      <c r="W20" s="41">
        <f>($C$22*1000/25)*V20/1000</f>
        <v>2.1000000000000005</v>
      </c>
    </row>
    <row r="21" spans="2:14" ht="15">
      <c r="B21" s="54" t="s">
        <v>52</v>
      </c>
      <c r="C21" s="18">
        <f>10000/(C7*C8)</f>
        <v>555.5555555555555</v>
      </c>
      <c r="D21" s="1"/>
      <c r="N21" s="1"/>
    </row>
    <row r="22" spans="2:4" ht="15.75" thickBot="1">
      <c r="B22" s="57" t="s">
        <v>15</v>
      </c>
      <c r="C22" s="19">
        <f>(C10*$C$9)/1000*(C21)</f>
        <v>10.500000000000002</v>
      </c>
      <c r="D22" s="1"/>
    </row>
    <row r="23" spans="2:3" ht="15">
      <c r="B23" s="1"/>
      <c r="C23" s="1"/>
    </row>
    <row r="24" ht="15.75" thickBot="1"/>
    <row r="25" spans="2:5" ht="15.75">
      <c r="B25" s="58" t="s">
        <v>16</v>
      </c>
      <c r="C25" s="103" t="s">
        <v>34</v>
      </c>
      <c r="D25" s="104"/>
      <c r="E25" s="1"/>
    </row>
    <row r="26" spans="2:5" ht="16.5" thickBot="1">
      <c r="B26" s="60"/>
      <c r="C26" s="61" t="s">
        <v>35</v>
      </c>
      <c r="D26" s="62" t="s">
        <v>36</v>
      </c>
      <c r="E26" s="1"/>
    </row>
    <row r="27" spans="2:8" ht="15">
      <c r="B27" s="55" t="s">
        <v>42</v>
      </c>
      <c r="C27" s="63">
        <f>(T8)+(C22*1000/25)*U16/1000</f>
        <v>34.650000000000006</v>
      </c>
      <c r="D27" s="64">
        <f>(C27+W16)+((+C27+W16)*+C14/100)</f>
        <v>97.02000000000001</v>
      </c>
      <c r="E27" s="1"/>
      <c r="H27" s="51"/>
    </row>
    <row r="28" spans="2:5" ht="15">
      <c r="B28" s="55" t="s">
        <v>41</v>
      </c>
      <c r="C28" s="63">
        <f>(T9)+($C$22*1000/25)*U17/1000</f>
        <v>4.200000000000001</v>
      </c>
      <c r="D28" s="64">
        <f>(C28+W17)+((+C28+W17)*+C15/100)</f>
        <v>16.800000000000004</v>
      </c>
      <c r="E28" s="1"/>
    </row>
    <row r="29" spans="2:5" ht="15">
      <c r="B29" s="55" t="s">
        <v>40</v>
      </c>
      <c r="C29" s="63">
        <f>(T10)+($C$22*1000/25)*U18/1000</f>
        <v>45.150000000000006</v>
      </c>
      <c r="D29" s="64">
        <f>(C29+W18)+((+C29+W18)*+C16/100)</f>
        <v>117.39000000000001</v>
      </c>
      <c r="E29" s="1"/>
    </row>
    <row r="30" spans="2:5" ht="15">
      <c r="B30" s="55" t="s">
        <v>61</v>
      </c>
      <c r="C30" s="63">
        <f>(T11)+($C$22*1000/25)*U19/1000</f>
        <v>3.1500000000000004</v>
      </c>
      <c r="D30" s="64">
        <f>(C30+W19)+((+C30+W19)*+C17/100)</f>
        <v>17.325000000000003</v>
      </c>
      <c r="E30" s="1"/>
    </row>
    <row r="31" spans="2:8" ht="15.75" thickBot="1">
      <c r="B31" s="65" t="s">
        <v>62</v>
      </c>
      <c r="C31" s="66">
        <f>(T12)+($C$22*1000/25)*U20/1000</f>
        <v>2.1000000000000005</v>
      </c>
      <c r="D31" s="67">
        <f>(C31+W20)+((+C31+W20)*+C18/100)</f>
        <v>5.250000000000002</v>
      </c>
      <c r="E31" s="1"/>
      <c r="F31" s="68" t="s">
        <v>46</v>
      </c>
      <c r="G31" s="68"/>
      <c r="H31" s="68"/>
    </row>
    <row r="32" spans="2:8" ht="15">
      <c r="B32" s="1"/>
      <c r="C32" s="20"/>
      <c r="D32" s="20"/>
      <c r="E32" s="1"/>
      <c r="F32" s="68" t="s">
        <v>68</v>
      </c>
      <c r="G32" s="68"/>
      <c r="H32" s="68"/>
    </row>
    <row r="33" spans="2:8" ht="15">
      <c r="B33" s="1"/>
      <c r="C33" s="20"/>
      <c r="D33" s="20"/>
      <c r="E33" s="1"/>
      <c r="F33" s="33"/>
      <c r="G33" s="33"/>
      <c r="H33" s="33"/>
    </row>
    <row r="34" spans="1:5" ht="15">
      <c r="A34" s="32"/>
      <c r="B34" s="1"/>
      <c r="C34" s="20"/>
      <c r="D34" s="20"/>
      <c r="E34" s="1"/>
    </row>
    <row r="35" spans="2:5" ht="15.75" thickBot="1">
      <c r="B35" s="1"/>
      <c r="C35" s="20"/>
      <c r="D35" s="20"/>
      <c r="E35" s="1"/>
    </row>
    <row r="36" spans="2:12" ht="15.75">
      <c r="B36" s="110" t="s">
        <v>65</v>
      </c>
      <c r="C36" s="108" t="s">
        <v>5</v>
      </c>
      <c r="D36" s="109"/>
      <c r="E36" s="108" t="s">
        <v>6</v>
      </c>
      <c r="F36" s="109"/>
      <c r="G36" s="108" t="s">
        <v>7</v>
      </c>
      <c r="H36" s="109"/>
      <c r="I36" s="108" t="s">
        <v>8</v>
      </c>
      <c r="J36" s="109"/>
      <c r="K36" s="112" t="s">
        <v>9</v>
      </c>
      <c r="L36" s="109"/>
    </row>
    <row r="37" spans="2:12" ht="16.5" thickBot="1">
      <c r="B37" s="111"/>
      <c r="C37" s="69" t="s">
        <v>56</v>
      </c>
      <c r="D37" s="70" t="s">
        <v>18</v>
      </c>
      <c r="E37" s="69" t="s">
        <v>56</v>
      </c>
      <c r="F37" s="70" t="s">
        <v>18</v>
      </c>
      <c r="G37" s="69" t="s">
        <v>56</v>
      </c>
      <c r="H37" s="70" t="s">
        <v>18</v>
      </c>
      <c r="I37" s="69" t="s">
        <v>56</v>
      </c>
      <c r="J37" s="70" t="s">
        <v>18</v>
      </c>
      <c r="K37" s="71" t="s">
        <v>56</v>
      </c>
      <c r="L37" s="70" t="s">
        <v>18</v>
      </c>
    </row>
    <row r="38" spans="2:12" ht="15">
      <c r="B38" s="29" t="s">
        <v>25</v>
      </c>
      <c r="C38" s="27">
        <v>25</v>
      </c>
      <c r="D38" s="72">
        <f>+C38/100*$D$27</f>
        <v>24.255000000000003</v>
      </c>
      <c r="E38" s="21"/>
      <c r="F38" s="72">
        <f>+E38/100*$D$28</f>
        <v>0</v>
      </c>
      <c r="G38" s="22">
        <v>30</v>
      </c>
      <c r="H38" s="72">
        <f>+G38/100*$D$29</f>
        <v>35.217000000000006</v>
      </c>
      <c r="I38" s="21"/>
      <c r="J38" s="72">
        <f>+I38/100*$D$30</f>
        <v>0</v>
      </c>
      <c r="K38" s="22"/>
      <c r="L38" s="72">
        <f>+K38/100*$D$31</f>
        <v>0</v>
      </c>
    </row>
    <row r="39" spans="2:12" ht="15">
      <c r="B39" s="29" t="s">
        <v>26</v>
      </c>
      <c r="C39" s="22"/>
      <c r="D39" s="72">
        <f aca="true" t="shared" si="0" ref="D39:D49">+C39/100*$D$27</f>
        <v>0</v>
      </c>
      <c r="E39" s="21"/>
      <c r="F39" s="72">
        <f aca="true" t="shared" si="1" ref="F39:F49">+E39/100*$D$28</f>
        <v>0</v>
      </c>
      <c r="G39" s="22"/>
      <c r="H39" s="72">
        <f aca="true" t="shared" si="2" ref="H39:H49">+G39/100*$D$29</f>
        <v>0</v>
      </c>
      <c r="I39" s="21"/>
      <c r="J39" s="72">
        <f aca="true" t="shared" si="3" ref="J39:J49">+I39/100*$D$30</f>
        <v>0</v>
      </c>
      <c r="K39" s="22"/>
      <c r="L39" s="72">
        <f aca="true" t="shared" si="4" ref="L39:L49">+K39/100*$D$31</f>
        <v>0</v>
      </c>
    </row>
    <row r="40" spans="2:12" ht="15">
      <c r="B40" s="29" t="s">
        <v>27</v>
      </c>
      <c r="C40" s="22">
        <v>10</v>
      </c>
      <c r="D40" s="72">
        <f t="shared" si="0"/>
        <v>9.702000000000002</v>
      </c>
      <c r="E40" s="21">
        <v>50</v>
      </c>
      <c r="F40" s="72">
        <f t="shared" si="1"/>
        <v>8.400000000000002</v>
      </c>
      <c r="G40" s="22">
        <v>10</v>
      </c>
      <c r="H40" s="72">
        <f t="shared" si="2"/>
        <v>11.739000000000003</v>
      </c>
      <c r="I40" s="21"/>
      <c r="J40" s="72">
        <f t="shared" si="3"/>
        <v>0</v>
      </c>
      <c r="K40" s="22"/>
      <c r="L40" s="72">
        <f t="shared" si="4"/>
        <v>0</v>
      </c>
    </row>
    <row r="41" spans="2:12" ht="15">
      <c r="B41" s="30" t="s">
        <v>28</v>
      </c>
      <c r="C41" s="24"/>
      <c r="D41" s="72">
        <f t="shared" si="0"/>
        <v>0</v>
      </c>
      <c r="E41" s="23"/>
      <c r="F41" s="72">
        <f t="shared" si="1"/>
        <v>0</v>
      </c>
      <c r="G41" s="24"/>
      <c r="H41" s="72">
        <f t="shared" si="2"/>
        <v>0</v>
      </c>
      <c r="I41" s="23"/>
      <c r="J41" s="72">
        <f t="shared" si="3"/>
        <v>0</v>
      </c>
      <c r="K41" s="24"/>
      <c r="L41" s="72">
        <f t="shared" si="4"/>
        <v>0</v>
      </c>
    </row>
    <row r="42" spans="2:12" ht="15">
      <c r="B42" s="29" t="s">
        <v>29</v>
      </c>
      <c r="C42" s="22">
        <v>10</v>
      </c>
      <c r="D42" s="72">
        <f t="shared" si="0"/>
        <v>9.702000000000002</v>
      </c>
      <c r="E42" s="21"/>
      <c r="F42" s="72">
        <f t="shared" si="1"/>
        <v>0</v>
      </c>
      <c r="G42" s="22">
        <v>10</v>
      </c>
      <c r="H42" s="72">
        <f t="shared" si="2"/>
        <v>11.739000000000003</v>
      </c>
      <c r="I42" s="21"/>
      <c r="J42" s="72">
        <f t="shared" si="3"/>
        <v>0</v>
      </c>
      <c r="K42" s="22"/>
      <c r="L42" s="72">
        <f t="shared" si="4"/>
        <v>0</v>
      </c>
    </row>
    <row r="43" spans="2:12" ht="15">
      <c r="B43" s="29" t="s">
        <v>30</v>
      </c>
      <c r="C43" s="22"/>
      <c r="D43" s="72">
        <f t="shared" si="0"/>
        <v>0</v>
      </c>
      <c r="E43" s="21"/>
      <c r="F43" s="72">
        <f t="shared" si="1"/>
        <v>0</v>
      </c>
      <c r="G43" s="22"/>
      <c r="H43" s="72">
        <f t="shared" si="2"/>
        <v>0</v>
      </c>
      <c r="I43" s="21"/>
      <c r="J43" s="72">
        <f t="shared" si="3"/>
        <v>0</v>
      </c>
      <c r="K43" s="22"/>
      <c r="L43" s="72">
        <f t="shared" si="4"/>
        <v>0</v>
      </c>
    </row>
    <row r="44" spans="2:12" ht="15">
      <c r="B44" s="29" t="s">
        <v>19</v>
      </c>
      <c r="C44" s="22">
        <v>10</v>
      </c>
      <c r="D44" s="72">
        <f t="shared" si="0"/>
        <v>9.702000000000002</v>
      </c>
      <c r="E44" s="21"/>
      <c r="F44" s="72">
        <f t="shared" si="1"/>
        <v>0</v>
      </c>
      <c r="G44" s="22">
        <v>10</v>
      </c>
      <c r="H44" s="72">
        <f t="shared" si="2"/>
        <v>11.739000000000003</v>
      </c>
      <c r="I44" s="21"/>
      <c r="J44" s="72">
        <f t="shared" si="3"/>
        <v>0</v>
      </c>
      <c r="K44" s="22"/>
      <c r="L44" s="72">
        <f t="shared" si="4"/>
        <v>0</v>
      </c>
    </row>
    <row r="45" spans="2:12" ht="15">
      <c r="B45" s="30" t="s">
        <v>20</v>
      </c>
      <c r="C45" s="24"/>
      <c r="D45" s="72">
        <f t="shared" si="0"/>
        <v>0</v>
      </c>
      <c r="E45" s="23"/>
      <c r="F45" s="72">
        <f t="shared" si="1"/>
        <v>0</v>
      </c>
      <c r="G45" s="24"/>
      <c r="H45" s="72">
        <f t="shared" si="2"/>
        <v>0</v>
      </c>
      <c r="I45" s="23"/>
      <c r="J45" s="72">
        <f t="shared" si="3"/>
        <v>0</v>
      </c>
      <c r="K45" s="24"/>
      <c r="L45" s="72">
        <f t="shared" si="4"/>
        <v>0</v>
      </c>
    </row>
    <row r="46" spans="2:12" ht="15">
      <c r="B46" s="29" t="s">
        <v>21</v>
      </c>
      <c r="C46" s="22">
        <v>25</v>
      </c>
      <c r="D46" s="72">
        <f t="shared" si="0"/>
        <v>24.255000000000003</v>
      </c>
      <c r="E46" s="21">
        <v>50</v>
      </c>
      <c r="F46" s="72">
        <f t="shared" si="1"/>
        <v>8.400000000000002</v>
      </c>
      <c r="G46" s="22">
        <v>30</v>
      </c>
      <c r="H46" s="72">
        <f t="shared" si="2"/>
        <v>35.217000000000006</v>
      </c>
      <c r="I46" s="21"/>
      <c r="J46" s="72">
        <f t="shared" si="3"/>
        <v>0</v>
      </c>
      <c r="K46" s="22"/>
      <c r="L46" s="72">
        <f t="shared" si="4"/>
        <v>0</v>
      </c>
    </row>
    <row r="47" spans="2:12" ht="15">
      <c r="B47" s="29" t="s">
        <v>22</v>
      </c>
      <c r="C47" s="22"/>
      <c r="D47" s="72">
        <f t="shared" si="0"/>
        <v>0</v>
      </c>
      <c r="E47" s="21"/>
      <c r="F47" s="72">
        <f t="shared" si="1"/>
        <v>0</v>
      </c>
      <c r="G47" s="22"/>
      <c r="H47" s="72">
        <f t="shared" si="2"/>
        <v>0</v>
      </c>
      <c r="I47" s="21"/>
      <c r="J47" s="72">
        <f t="shared" si="3"/>
        <v>0</v>
      </c>
      <c r="K47" s="22"/>
      <c r="L47" s="72">
        <f t="shared" si="4"/>
        <v>0</v>
      </c>
    </row>
    <row r="48" spans="2:12" ht="15">
      <c r="B48" s="29" t="s">
        <v>23</v>
      </c>
      <c r="C48" s="22">
        <v>20</v>
      </c>
      <c r="D48" s="72">
        <f t="shared" si="0"/>
        <v>19.404000000000003</v>
      </c>
      <c r="E48" s="21"/>
      <c r="F48" s="72">
        <f t="shared" si="1"/>
        <v>0</v>
      </c>
      <c r="G48" s="22">
        <v>10</v>
      </c>
      <c r="H48" s="72">
        <f t="shared" si="2"/>
        <v>11.739000000000003</v>
      </c>
      <c r="I48" s="21"/>
      <c r="J48" s="72">
        <f t="shared" si="3"/>
        <v>0</v>
      </c>
      <c r="K48" s="22"/>
      <c r="L48" s="72">
        <f t="shared" si="4"/>
        <v>0</v>
      </c>
    </row>
    <row r="49" spans="2:12" ht="15.75" thickBot="1">
      <c r="B49" s="31" t="s">
        <v>24</v>
      </c>
      <c r="C49" s="26"/>
      <c r="D49" s="73">
        <f t="shared" si="0"/>
        <v>0</v>
      </c>
      <c r="E49" s="25"/>
      <c r="F49" s="73">
        <f t="shared" si="1"/>
        <v>0</v>
      </c>
      <c r="G49" s="26"/>
      <c r="H49" s="73">
        <f t="shared" si="2"/>
        <v>0</v>
      </c>
      <c r="I49" s="25"/>
      <c r="J49" s="74">
        <f t="shared" si="3"/>
        <v>0</v>
      </c>
      <c r="K49" s="26"/>
      <c r="L49" s="74">
        <f t="shared" si="4"/>
        <v>0</v>
      </c>
    </row>
    <row r="50" spans="2:12" ht="17.25" thickBot="1" thickTop="1">
      <c r="B50" s="75" t="s">
        <v>31</v>
      </c>
      <c r="C50" s="76">
        <f>SUM(C36:C49)</f>
        <v>100</v>
      </c>
      <c r="D50" s="77">
        <f aca="true" t="shared" si="5" ref="D50:L50">SUM(D38:D49)</f>
        <v>97.02000000000001</v>
      </c>
      <c r="E50" s="78">
        <f t="shared" si="5"/>
        <v>100</v>
      </c>
      <c r="F50" s="77">
        <f t="shared" si="5"/>
        <v>16.800000000000004</v>
      </c>
      <c r="G50" s="79">
        <f t="shared" si="5"/>
        <v>100</v>
      </c>
      <c r="H50" s="77">
        <f t="shared" si="5"/>
        <v>117.39000000000001</v>
      </c>
      <c r="I50" s="78">
        <f t="shared" si="5"/>
        <v>0</v>
      </c>
      <c r="J50" s="80">
        <f t="shared" si="5"/>
        <v>0</v>
      </c>
      <c r="K50" s="79">
        <f t="shared" si="5"/>
        <v>0</v>
      </c>
      <c r="L50" s="80">
        <f t="shared" si="5"/>
        <v>0</v>
      </c>
    </row>
    <row r="51" spans="1:6" ht="15.75" thickBot="1">
      <c r="A51" s="1"/>
      <c r="B51" s="1"/>
      <c r="C51" s="1"/>
      <c r="D51" s="1"/>
      <c r="E51" s="1"/>
      <c r="F51" s="1"/>
    </row>
    <row r="52" spans="2:7" ht="15.75">
      <c r="B52" s="81" t="s">
        <v>39</v>
      </c>
      <c r="C52" s="59" t="s">
        <v>58</v>
      </c>
      <c r="D52" s="113" t="s">
        <v>64</v>
      </c>
      <c r="E52" s="86" t="s">
        <v>43</v>
      </c>
      <c r="F52" s="107" t="s">
        <v>45</v>
      </c>
      <c r="G52" s="104"/>
    </row>
    <row r="53" spans="2:7" ht="16.5" thickBot="1">
      <c r="B53" s="82" t="s">
        <v>48</v>
      </c>
      <c r="C53" s="69" t="s">
        <v>17</v>
      </c>
      <c r="D53" s="114"/>
      <c r="E53" s="71" t="s">
        <v>44</v>
      </c>
      <c r="F53" s="87" t="s">
        <v>59</v>
      </c>
      <c r="G53" s="70" t="s">
        <v>60</v>
      </c>
    </row>
    <row r="54" spans="2:7" ht="15">
      <c r="B54" s="83" t="s">
        <v>42</v>
      </c>
      <c r="C54" s="45">
        <v>46</v>
      </c>
      <c r="D54" s="48">
        <v>100</v>
      </c>
      <c r="E54" s="88">
        <f>D27*D54/100</f>
        <v>97.02000000000002</v>
      </c>
      <c r="F54" s="89">
        <f>IF(C54=0,0,IF(C54&gt;0,((E54*100/C54))))</f>
        <v>210.9130434782609</v>
      </c>
      <c r="G54" s="90">
        <f>F54/$C$21</f>
        <v>0.37964347826086964</v>
      </c>
    </row>
    <row r="55" spans="2:7" ht="15">
      <c r="B55" s="84" t="s">
        <v>41</v>
      </c>
      <c r="C55" s="46">
        <v>9</v>
      </c>
      <c r="D55" s="49">
        <v>100</v>
      </c>
      <c r="E55" s="91">
        <f>D28*D55/100</f>
        <v>16.800000000000004</v>
      </c>
      <c r="F55" s="92">
        <f>IF(C55=0,0,IF(C55&gt;0,((E55*100/C55))))</f>
        <v>186.6666666666667</v>
      </c>
      <c r="G55" s="93">
        <f>F55/$C$21</f>
        <v>0.3360000000000001</v>
      </c>
    </row>
    <row r="56" spans="2:7" ht="15">
      <c r="B56" s="84" t="s">
        <v>40</v>
      </c>
      <c r="C56" s="46">
        <v>41</v>
      </c>
      <c r="D56" s="49">
        <v>100</v>
      </c>
      <c r="E56" s="91">
        <f>D29*D56/100</f>
        <v>117.39000000000001</v>
      </c>
      <c r="F56" s="92">
        <f>IF(C56=0,0,IF(C56&gt;0,((E56*100/C56))))</f>
        <v>286.31707317073176</v>
      </c>
      <c r="G56" s="93">
        <f>F56/$C$21</f>
        <v>0.5153707317073172</v>
      </c>
    </row>
    <row r="57" spans="2:7" ht="15">
      <c r="B57" s="84" t="s">
        <v>61</v>
      </c>
      <c r="C57" s="46">
        <v>20</v>
      </c>
      <c r="D57" s="49">
        <v>100</v>
      </c>
      <c r="E57" s="91">
        <f>D30*D57/100</f>
        <v>17.325000000000003</v>
      </c>
      <c r="F57" s="92">
        <f>IF(C57=0,0,IF(C57&gt;0,((E57*100/C57))))</f>
        <v>86.62500000000001</v>
      </c>
      <c r="G57" s="93">
        <f>F57/$C$21</f>
        <v>0.15592500000000004</v>
      </c>
    </row>
    <row r="58" spans="2:7" ht="15.75" thickBot="1">
      <c r="B58" s="85" t="s">
        <v>62</v>
      </c>
      <c r="C58" s="47">
        <v>54</v>
      </c>
      <c r="D58" s="50">
        <v>100</v>
      </c>
      <c r="E58" s="94">
        <f>D31*D58/100</f>
        <v>5.250000000000003</v>
      </c>
      <c r="F58" s="95">
        <f>IF(C58=0,0,IF(C58&gt;0,((E58*100/C58))))</f>
        <v>9.722222222222227</v>
      </c>
      <c r="G58" s="96">
        <f>F58/$C$21</f>
        <v>0.01750000000000001</v>
      </c>
    </row>
    <row r="59" ht="15.75" thickBot="1"/>
    <row r="60" spans="2:7" ht="15.75">
      <c r="B60" s="81" t="s">
        <v>39</v>
      </c>
      <c r="C60" s="97" t="s">
        <v>58</v>
      </c>
      <c r="D60" s="86" t="s">
        <v>43</v>
      </c>
      <c r="E60" s="98" t="s">
        <v>47</v>
      </c>
      <c r="F60" s="115" t="s">
        <v>45</v>
      </c>
      <c r="G60" s="109"/>
    </row>
    <row r="61" spans="2:7" ht="16.5" thickBot="1">
      <c r="B61" s="82" t="s">
        <v>49</v>
      </c>
      <c r="C61" s="99" t="s">
        <v>17</v>
      </c>
      <c r="D61" s="71" t="s">
        <v>44</v>
      </c>
      <c r="E61" s="100" t="s">
        <v>18</v>
      </c>
      <c r="F61" s="71" t="s">
        <v>59</v>
      </c>
      <c r="G61" s="70" t="s">
        <v>60</v>
      </c>
    </row>
    <row r="62" spans="2:7" ht="15.75" thickBot="1">
      <c r="B62" s="84" t="s">
        <v>42</v>
      </c>
      <c r="C62" s="27">
        <v>12</v>
      </c>
      <c r="D62" s="91">
        <f>D27</f>
        <v>97.02000000000001</v>
      </c>
      <c r="E62" s="64">
        <f>D27</f>
        <v>97.02000000000001</v>
      </c>
      <c r="F62" s="101">
        <f>IF(C62=0,0,IF(C62&gt;0,((D62*100/C62))))</f>
        <v>808.5000000000001</v>
      </c>
      <c r="G62" s="102">
        <f>F62/$C$21</f>
        <v>1.4553000000000003</v>
      </c>
    </row>
    <row r="63" spans="2:7" ht="15">
      <c r="B63" s="84" t="s">
        <v>41</v>
      </c>
      <c r="C63" s="27">
        <v>2</v>
      </c>
      <c r="D63" s="91">
        <f>D28</f>
        <v>16.800000000000004</v>
      </c>
      <c r="E63" s="64">
        <f>C63/100*F62</f>
        <v>16.17</v>
      </c>
      <c r="F63" s="20"/>
      <c r="G63" s="34"/>
    </row>
    <row r="64" spans="2:7" ht="15.75" thickBot="1">
      <c r="B64" s="85" t="s">
        <v>40</v>
      </c>
      <c r="C64" s="28">
        <v>14</v>
      </c>
      <c r="D64" s="94">
        <f>D29</f>
        <v>117.39000000000001</v>
      </c>
      <c r="E64" s="67">
        <f>C64/100*F62</f>
        <v>113.19000000000003</v>
      </c>
      <c r="F64" s="20"/>
      <c r="G64" s="34"/>
    </row>
  </sheetData>
  <mergeCells count="11">
    <mergeCell ref="I36:J36"/>
    <mergeCell ref="K36:L36"/>
    <mergeCell ref="D52:D53"/>
    <mergeCell ref="F60:G60"/>
    <mergeCell ref="C25:D25"/>
    <mergeCell ref="B3:C3"/>
    <mergeCell ref="F52:G52"/>
    <mergeCell ref="C36:D36"/>
    <mergeCell ref="E36:F36"/>
    <mergeCell ref="G36:H36"/>
    <mergeCell ref="B36:B37"/>
  </mergeCells>
  <printOptions/>
  <pageMargins left="0.2" right="0.35433070866141736" top="0.4724409448818898" bottom="0.56" header="0.5118110236220472" footer="0.5118110236220472"/>
  <pageSetup horizontalDpi="600" verticalDpi="600" orientation="landscape" paperSize="9" scale="83" r:id="rId4"/>
  <headerFooter alignWithMargins="0">
    <oddFooter>&amp;LNSW Agriculture&amp;C&amp;F&amp;R&amp;D</oddFooter>
  </headerFooter>
  <rowBreaks count="1" manualBreakCount="1">
    <brk id="33" max="255" man="1"/>
  </rowBreaks>
  <colBreaks count="1" manualBreakCount="1">
    <brk id="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Passionfruit fertiliser guide</dc:title>
  <dc:subject/>
  <dc:creator>NSW DPI</dc:creator>
  <cp:keywords/>
  <dc:description/>
  <cp:lastModifiedBy>NSW DPI Client</cp:lastModifiedBy>
  <cp:lastPrinted>2001-11-13T01:08:17Z</cp:lastPrinted>
  <dcterms:created xsi:type="dcterms:W3CDTF">1998-11-12T23:08:21Z</dcterms:created>
  <dcterms:modified xsi:type="dcterms:W3CDTF">2007-03-28T05:17:23Z</dcterms:modified>
  <cp:category/>
  <cp:version/>
  <cp:contentType/>
  <cp:contentStatus/>
</cp:coreProperties>
</file>