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fileSharing readOnlyRecommended="1"/>
  <workbookPr codeName="ThisWorkbook" defaultThemeVersion="166925"/>
  <mc:AlternateContent xmlns:mc="http://schemas.openxmlformats.org/markup-compatibility/2006">
    <mc:Choice Requires="x15">
      <x15ac:absPath xmlns:x15ac="http://schemas.microsoft.com/office/spreadsheetml/2010/11/ac" url="S:\DPI STRATEGY &amp; POLICY BRANCH\Economics &amp; Analysis\Market Industry Analysis\Performance Data and Insights\PDI 2023\Content\Data Tables\FINAL\"/>
    </mc:Choice>
  </mc:AlternateContent>
  <xr:revisionPtr revIDLastSave="0" documentId="13_ncr:1_{C0C71928-C8BC-4527-BD43-AA93FE6C607B}" xr6:coauthVersionLast="47" xr6:coauthVersionMax="47" xr10:uidLastSave="{00000000-0000-0000-0000-000000000000}"/>
  <bookViews>
    <workbookView xWindow="-5370" yWindow="-21600" windowWidth="25800" windowHeight="21000" tabRatio="776" xr2:uid="{CBCE8E07-5E39-46E2-AC5D-B2C08697AC7A}"/>
  </bookViews>
  <sheets>
    <sheet name="Cover Sheet" sheetId="1" r:id="rId1"/>
    <sheet name="Wheat" sheetId="3" r:id="rId2"/>
    <sheet name="Barley" sheetId="4" r:id="rId3"/>
    <sheet name="Rice" sheetId="5" r:id="rId4"/>
    <sheet name="Coarse Grains" sheetId="6" r:id="rId5"/>
    <sheet name="Pulses" sheetId="7" r:id="rId6"/>
    <sheet name="Oilseeds" sheetId="8" r:id="rId7"/>
    <sheet name="Cotton Lint" sheetId="9" r:id="rId8"/>
    <sheet name="Sugarcane" sheetId="10" r:id="rId9"/>
    <sheet name="Horticulture" sheetId="11" r:id="rId10"/>
    <sheet name="Wine" sheetId="12" r:id="rId11"/>
    <sheet name="Beef" sheetId="13" r:id="rId12"/>
    <sheet name="Sheep Meat" sheetId="14" r:id="rId13"/>
    <sheet name="Goat Meat" sheetId="15" r:id="rId14"/>
    <sheet name="Pork" sheetId="16" r:id="rId15"/>
    <sheet name="Poultry" sheetId="17" r:id="rId16"/>
    <sheet name="Wool" sheetId="18" r:id="rId17"/>
    <sheet name="Eggs" sheetId="19" r:id="rId18"/>
    <sheet name="Milk" sheetId="20" r:id="rId19"/>
    <sheet name="Forestry" sheetId="21" r:id="rId20"/>
    <sheet name="Fisheries" sheetId="22" r:id="rId21"/>
    <sheet name="Gross Value of Production" sheetId="2" r:id="rId22"/>
    <sheet name="Production" sheetId="23" r:id="rId23"/>
    <sheet name="Prices" sheetId="24" r:id="rId24"/>
    <sheet name="Exports" sheetId="25" r:id="rId25"/>
    <sheet name="Imports &amp; Trade Balance" sheetId="26" r:id="rId26"/>
    <sheet name="Employment &amp; Businesses" sheetId="27" r:id="rId27"/>
    <sheet name="Endnotes" sheetId="28" r:id="rId2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5" i="27" l="1"/>
  <c r="F15" i="27"/>
  <c r="E15" i="27"/>
  <c r="D15" i="27"/>
  <c r="G9" i="24" l="1"/>
  <c r="F9" i="24"/>
  <c r="E9" i="24"/>
  <c r="D9" i="24"/>
  <c r="C9" i="24"/>
  <c r="H3" i="21" l="1"/>
  <c r="D7" i="27" l="1"/>
  <c r="I8" i="18" l="1"/>
  <c r="J8" i="18"/>
  <c r="K8" i="18"/>
  <c r="A8" i="25" l="1"/>
  <c r="D11" i="21"/>
  <c r="D10" i="21"/>
  <c r="E11" i="21"/>
  <c r="E10" i="21"/>
  <c r="F11" i="21"/>
  <c r="F10" i="21"/>
  <c r="G11" i="21"/>
  <c r="G10" i="21"/>
  <c r="I7" i="9"/>
  <c r="E9" i="13" l="1"/>
  <c r="D9" i="13"/>
  <c r="F9" i="13"/>
  <c r="G9" i="13"/>
  <c r="H9" i="13"/>
  <c r="H5" i="7" l="1"/>
  <c r="G5" i="7"/>
  <c r="F5" i="7"/>
  <c r="E5" i="7"/>
  <c r="E5" i="6"/>
  <c r="H5" i="6"/>
  <c r="G5" i="6"/>
  <c r="F5" i="6"/>
  <c r="H5" i="5"/>
  <c r="G5" i="5"/>
  <c r="F5" i="5"/>
  <c r="E5" i="5"/>
  <c r="F5" i="4"/>
  <c r="E5" i="4"/>
  <c r="H5" i="4"/>
  <c r="G5" i="4"/>
  <c r="F5" i="3"/>
  <c r="E5" i="3"/>
  <c r="H5" i="3"/>
  <c r="G5" i="3"/>
  <c r="F5" i="9" l="1"/>
  <c r="G5" i="9"/>
  <c r="H5" i="9"/>
  <c r="E5" i="9"/>
  <c r="I7" i="21"/>
  <c r="L32" i="23"/>
  <c r="K32" i="23"/>
  <c r="G32" i="23"/>
  <c r="L31" i="23"/>
  <c r="K31" i="23"/>
  <c r="G31" i="23"/>
  <c r="L30" i="23"/>
  <c r="K30" i="23"/>
  <c r="G30" i="23"/>
  <c r="L29" i="23"/>
  <c r="K29" i="23"/>
  <c r="G29" i="23"/>
  <c r="K19" i="23"/>
  <c r="L19" i="23"/>
  <c r="K20" i="23"/>
  <c r="L20" i="23"/>
  <c r="K21" i="23"/>
  <c r="L21" i="23"/>
  <c r="K22" i="23"/>
  <c r="L22" i="23"/>
  <c r="K23" i="23"/>
  <c r="L23" i="23"/>
  <c r="K24" i="23"/>
  <c r="L24" i="23"/>
  <c r="G25" i="23"/>
  <c r="K25" i="23"/>
  <c r="L25" i="23"/>
  <c r="K26" i="23"/>
  <c r="L26" i="23"/>
  <c r="L17" i="23"/>
  <c r="K17" i="23"/>
  <c r="G17" i="23"/>
  <c r="L16" i="23"/>
  <c r="K16" i="23"/>
  <c r="G16" i="23"/>
  <c r="L15" i="23"/>
  <c r="K15" i="23"/>
  <c r="G15" i="23"/>
  <c r="L14" i="23"/>
  <c r="K14" i="23"/>
  <c r="G14" i="23"/>
  <c r="L13" i="23"/>
  <c r="K13" i="23"/>
  <c r="G13" i="23"/>
  <c r="L12" i="23"/>
  <c r="K12" i="23"/>
  <c r="G12" i="23"/>
  <c r="L10" i="24"/>
  <c r="K10" i="24"/>
  <c r="F33" i="27" l="1"/>
  <c r="F37" i="27"/>
  <c r="F18" i="27"/>
  <c r="F16" i="27" l="1"/>
  <c r="G70" i="23"/>
  <c r="G69" i="23"/>
  <c r="G68" i="23"/>
  <c r="G67" i="23"/>
  <c r="G66" i="23"/>
  <c r="F64" i="23"/>
  <c r="G64" i="23"/>
  <c r="G63" i="23"/>
  <c r="G62" i="23"/>
  <c r="L10" i="23" l="1"/>
  <c r="K10" i="23"/>
  <c r="L9" i="23"/>
  <c r="K9" i="23"/>
  <c r="L8" i="23"/>
  <c r="K8" i="23"/>
  <c r="L7" i="23"/>
  <c r="K7" i="23"/>
  <c r="L6" i="23"/>
  <c r="K6" i="23"/>
  <c r="L5" i="23"/>
  <c r="K5" i="23"/>
  <c r="L4" i="23"/>
  <c r="K4" i="23"/>
  <c r="L3" i="23"/>
  <c r="K3" i="23"/>
  <c r="L28" i="23"/>
  <c r="K28" i="23"/>
  <c r="L10" i="26" l="1"/>
  <c r="K10" i="26"/>
  <c r="L9" i="26"/>
  <c r="K9" i="26"/>
  <c r="L8" i="26"/>
  <c r="K8" i="26"/>
  <c r="L7" i="26"/>
  <c r="K7" i="26"/>
  <c r="L6" i="26"/>
  <c r="K6" i="26"/>
  <c r="L5" i="26"/>
  <c r="K5" i="26"/>
  <c r="L4" i="26"/>
  <c r="K4" i="26"/>
  <c r="L3" i="26"/>
  <c r="K3" i="26"/>
  <c r="L13" i="26"/>
  <c r="K13" i="26"/>
  <c r="L12" i="26"/>
  <c r="K12" i="26"/>
  <c r="L22" i="26"/>
  <c r="K22" i="26"/>
  <c r="L21" i="26"/>
  <c r="K21" i="26"/>
  <c r="L20" i="26"/>
  <c r="K20" i="26"/>
  <c r="L19" i="26"/>
  <c r="K19" i="26"/>
  <c r="L18" i="26"/>
  <c r="K18" i="26"/>
  <c r="L17" i="26"/>
  <c r="K17" i="26"/>
  <c r="L16" i="26"/>
  <c r="K16" i="26"/>
  <c r="L15" i="26"/>
  <c r="K15" i="26"/>
  <c r="L25" i="26"/>
  <c r="K25" i="26"/>
  <c r="L24" i="26"/>
  <c r="K24" i="26"/>
  <c r="L26" i="24"/>
  <c r="K26" i="24"/>
  <c r="L25" i="24"/>
  <c r="K25" i="24"/>
  <c r="L24" i="24"/>
  <c r="K24" i="24"/>
  <c r="L23" i="24"/>
  <c r="K23" i="24"/>
  <c r="L22" i="24"/>
  <c r="K22" i="24"/>
  <c r="L21" i="24"/>
  <c r="K21" i="24"/>
  <c r="L20" i="24"/>
  <c r="K20" i="24"/>
  <c r="L19" i="24"/>
  <c r="K19" i="24"/>
  <c r="L18" i="24"/>
  <c r="K18" i="24"/>
  <c r="L17" i="24"/>
  <c r="K17" i="24"/>
  <c r="L16" i="24"/>
  <c r="K16" i="24"/>
  <c r="L58" i="26"/>
  <c r="K58" i="26"/>
  <c r="L57" i="26"/>
  <c r="K57" i="26"/>
  <c r="L55" i="26"/>
  <c r="K55" i="26"/>
  <c r="L54" i="26"/>
  <c r="K54" i="26"/>
  <c r="L53" i="26"/>
  <c r="K53" i="26"/>
  <c r="L52" i="26"/>
  <c r="K52" i="26"/>
  <c r="L51" i="26"/>
  <c r="K51" i="26"/>
  <c r="L50" i="26"/>
  <c r="K50" i="26"/>
  <c r="L49" i="26"/>
  <c r="K49" i="26"/>
  <c r="L48" i="26"/>
  <c r="K48" i="26"/>
  <c r="L46" i="26"/>
  <c r="K46" i="26"/>
  <c r="L45" i="26"/>
  <c r="K45" i="26"/>
  <c r="L43" i="26"/>
  <c r="K43" i="26"/>
  <c r="L42" i="26"/>
  <c r="K42" i="26"/>
  <c r="L41" i="26"/>
  <c r="K41" i="26"/>
  <c r="L40" i="26"/>
  <c r="K40" i="26"/>
  <c r="L39" i="26"/>
  <c r="K39" i="26"/>
  <c r="L38" i="26"/>
  <c r="K38" i="26"/>
  <c r="L37" i="26"/>
  <c r="K37" i="26"/>
  <c r="L36" i="26"/>
  <c r="K36" i="26"/>
  <c r="L84" i="25"/>
  <c r="K84" i="25"/>
  <c r="L83" i="25"/>
  <c r="K83" i="25"/>
  <c r="L82" i="25"/>
  <c r="K82" i="25"/>
  <c r="L81" i="25"/>
  <c r="K81" i="25"/>
  <c r="L80" i="25"/>
  <c r="K80" i="25"/>
  <c r="L79" i="25"/>
  <c r="K79" i="25"/>
  <c r="L78" i="25"/>
  <c r="K78" i="25"/>
  <c r="L77" i="25"/>
  <c r="K77" i="25"/>
  <c r="L75" i="25"/>
  <c r="K75" i="25"/>
  <c r="L74" i="25"/>
  <c r="K74" i="25"/>
  <c r="L73" i="25"/>
  <c r="K73" i="25"/>
  <c r="L72" i="25"/>
  <c r="K72" i="25"/>
  <c r="L71" i="25"/>
  <c r="K71" i="25"/>
  <c r="L70" i="25"/>
  <c r="K70" i="25"/>
  <c r="L69" i="25"/>
  <c r="K69" i="25"/>
  <c r="L68" i="25"/>
  <c r="K68" i="25"/>
  <c r="L67" i="25"/>
  <c r="K67" i="25"/>
  <c r="L66" i="25"/>
  <c r="K66" i="25"/>
  <c r="L65" i="25"/>
  <c r="K65" i="25"/>
  <c r="L64" i="25"/>
  <c r="K64" i="25"/>
  <c r="L63" i="25"/>
  <c r="K63" i="25"/>
  <c r="L62" i="25"/>
  <c r="K62" i="25"/>
  <c r="L61" i="25"/>
  <c r="K61" i="25"/>
  <c r="L60" i="25"/>
  <c r="K60" i="25"/>
  <c r="L59" i="25"/>
  <c r="K59" i="25"/>
  <c r="L58" i="25"/>
  <c r="K58" i="25"/>
  <c r="L57" i="25"/>
  <c r="K57" i="25"/>
  <c r="L56" i="25"/>
  <c r="K56" i="25"/>
  <c r="L55" i="25"/>
  <c r="K55" i="25"/>
  <c r="L54" i="25"/>
  <c r="K54" i="25"/>
  <c r="L53" i="25"/>
  <c r="K53" i="25"/>
  <c r="L52" i="25"/>
  <c r="K52" i="25"/>
  <c r="L51" i="25"/>
  <c r="K51" i="25"/>
  <c r="L50" i="25"/>
  <c r="K50" i="25"/>
  <c r="L49" i="25"/>
  <c r="K49" i="25"/>
  <c r="L48" i="25"/>
  <c r="K48" i="25"/>
  <c r="L47" i="25"/>
  <c r="K47" i="25"/>
  <c r="L46" i="25"/>
  <c r="K46" i="25"/>
  <c r="L45" i="25"/>
  <c r="K45" i="25"/>
  <c r="L44" i="25"/>
  <c r="K44" i="25"/>
  <c r="L42" i="25"/>
  <c r="K42" i="25"/>
  <c r="L41" i="25"/>
  <c r="K41" i="25"/>
  <c r="L40" i="25"/>
  <c r="K40" i="25"/>
  <c r="L39" i="25"/>
  <c r="K39" i="25"/>
  <c r="L38" i="25"/>
  <c r="K38" i="25"/>
  <c r="L37" i="25"/>
  <c r="K37" i="25"/>
  <c r="L36" i="25"/>
  <c r="K36" i="25"/>
  <c r="L35" i="25"/>
  <c r="K35" i="25"/>
  <c r="L33" i="25"/>
  <c r="K33" i="25"/>
  <c r="L32" i="25"/>
  <c r="K32" i="25"/>
  <c r="L31" i="25"/>
  <c r="K31" i="25"/>
  <c r="L30" i="25"/>
  <c r="K30" i="25"/>
  <c r="L29" i="25"/>
  <c r="K29" i="25"/>
  <c r="L28" i="25"/>
  <c r="K28" i="25"/>
  <c r="L27" i="25"/>
  <c r="K27" i="25"/>
  <c r="L26" i="25"/>
  <c r="K26" i="25"/>
  <c r="L25" i="25"/>
  <c r="K25" i="25"/>
  <c r="L24" i="25"/>
  <c r="K24" i="25"/>
  <c r="L23" i="25"/>
  <c r="K23" i="25"/>
  <c r="L22" i="25"/>
  <c r="K22" i="25"/>
  <c r="L21" i="25"/>
  <c r="K21" i="25"/>
  <c r="L20" i="25"/>
  <c r="K20" i="25"/>
  <c r="L19" i="25"/>
  <c r="K19" i="25"/>
  <c r="L18" i="25"/>
  <c r="K18" i="25"/>
  <c r="L17" i="25"/>
  <c r="K17" i="25"/>
  <c r="L16" i="25"/>
  <c r="K16" i="25"/>
  <c r="L15" i="25"/>
  <c r="K15" i="25"/>
  <c r="L14" i="25"/>
  <c r="K14" i="25"/>
  <c r="L13" i="25"/>
  <c r="K13" i="25"/>
  <c r="L12" i="25"/>
  <c r="K12" i="25"/>
  <c r="L11" i="25"/>
  <c r="K11" i="25"/>
  <c r="L10" i="25"/>
  <c r="K10" i="25"/>
  <c r="L9" i="25"/>
  <c r="K9" i="25"/>
  <c r="L8" i="25"/>
  <c r="K8" i="25"/>
  <c r="L7" i="25"/>
  <c r="K7" i="25"/>
  <c r="L6" i="25"/>
  <c r="K6" i="25"/>
  <c r="L5" i="25"/>
  <c r="K5" i="25"/>
  <c r="L4" i="25"/>
  <c r="K4" i="25"/>
  <c r="L3" i="25"/>
  <c r="K3" i="25"/>
  <c r="L30" i="24"/>
  <c r="K30" i="24"/>
  <c r="L29" i="24"/>
  <c r="K29" i="24"/>
  <c r="L28" i="24"/>
  <c r="K28" i="24"/>
  <c r="L14" i="24"/>
  <c r="K14" i="24"/>
  <c r="L13" i="24"/>
  <c r="K13" i="24"/>
  <c r="L12" i="24"/>
  <c r="K12" i="24"/>
  <c r="L9" i="24"/>
  <c r="K9" i="24"/>
  <c r="L8" i="24"/>
  <c r="K8" i="24"/>
  <c r="L7" i="24"/>
  <c r="K7" i="24"/>
  <c r="L6" i="24"/>
  <c r="K6" i="24"/>
  <c r="L5" i="24"/>
  <c r="K5" i="24"/>
  <c r="L4" i="24"/>
  <c r="K4" i="24"/>
  <c r="L3" i="24"/>
  <c r="K3" i="24"/>
  <c r="L54" i="23"/>
  <c r="K54" i="23"/>
  <c r="L53" i="23"/>
  <c r="K53" i="23"/>
  <c r="H53" i="23"/>
  <c r="L50" i="23"/>
  <c r="K50" i="23"/>
  <c r="L49" i="23"/>
  <c r="K49" i="23"/>
  <c r="L48" i="23"/>
  <c r="K48" i="23"/>
  <c r="L47" i="23"/>
  <c r="K47" i="23"/>
  <c r="L46" i="23"/>
  <c r="K46" i="23"/>
  <c r="L45" i="23"/>
  <c r="K45" i="23"/>
  <c r="L44" i="23"/>
  <c r="K44" i="23"/>
  <c r="L43" i="23"/>
  <c r="K43" i="23"/>
  <c r="L70" i="23"/>
  <c r="K70" i="23"/>
  <c r="L69" i="23"/>
  <c r="K69" i="23"/>
  <c r="L68" i="23"/>
  <c r="K68" i="23"/>
  <c r="L67" i="23"/>
  <c r="K67" i="23"/>
  <c r="L66" i="23"/>
  <c r="K66" i="23"/>
  <c r="L65" i="23"/>
  <c r="K65" i="23"/>
  <c r="L64" i="23"/>
  <c r="K64" i="23"/>
  <c r="L63" i="23"/>
  <c r="K63" i="23"/>
  <c r="L62" i="23"/>
  <c r="K62" i="23"/>
  <c r="L31" i="2"/>
  <c r="K31" i="2"/>
  <c r="L30" i="2"/>
  <c r="K30" i="2"/>
  <c r="L29" i="2"/>
  <c r="K29" i="2"/>
  <c r="L28" i="2"/>
  <c r="K28" i="2"/>
  <c r="L25" i="2"/>
  <c r="K25" i="2"/>
  <c r="L24" i="2"/>
  <c r="K24" i="2"/>
  <c r="L23" i="2"/>
  <c r="K23" i="2"/>
  <c r="L22" i="2"/>
  <c r="K22" i="2"/>
  <c r="L21" i="2"/>
  <c r="K21" i="2"/>
  <c r="L20" i="2"/>
  <c r="K20" i="2"/>
  <c r="L19" i="2"/>
  <c r="K19" i="2"/>
  <c r="L18" i="2"/>
  <c r="K18" i="2"/>
  <c r="L16" i="2"/>
  <c r="K16" i="2"/>
  <c r="L15" i="2"/>
  <c r="K15" i="2"/>
  <c r="L14" i="2"/>
  <c r="K14" i="2"/>
  <c r="L13" i="2"/>
  <c r="K13" i="2"/>
  <c r="L10" i="2"/>
  <c r="K10" i="2"/>
  <c r="L9" i="2"/>
  <c r="K9" i="2"/>
  <c r="L8" i="2"/>
  <c r="K8" i="2"/>
  <c r="L7" i="2"/>
  <c r="K7" i="2"/>
  <c r="L6" i="2"/>
  <c r="K6" i="2"/>
  <c r="L5" i="2"/>
  <c r="K5" i="2"/>
  <c r="L4" i="2"/>
  <c r="K4" i="2"/>
  <c r="L3" i="2"/>
  <c r="K3" i="2"/>
  <c r="G65" i="23" l="1"/>
  <c r="G41" i="23"/>
  <c r="G54" i="23"/>
  <c r="F54" i="23"/>
  <c r="G53" i="23"/>
  <c r="F53" i="23"/>
  <c r="D60" i="26" l="1"/>
  <c r="C60" i="26"/>
  <c r="J27" i="26"/>
  <c r="I27" i="26"/>
  <c r="H27" i="26"/>
  <c r="G60" i="26"/>
  <c r="E60" i="26"/>
  <c r="F60" i="26"/>
  <c r="G9" i="26"/>
  <c r="F29" i="25"/>
  <c r="E29" i="25"/>
  <c r="D29" i="25"/>
  <c r="G28" i="25"/>
  <c r="F28" i="25"/>
  <c r="E28" i="25"/>
  <c r="G27" i="25"/>
  <c r="F27" i="25"/>
  <c r="E27" i="25"/>
  <c r="D27" i="25"/>
  <c r="F26" i="25"/>
  <c r="E26" i="25"/>
  <c r="D26" i="25"/>
  <c r="C9" i="26"/>
  <c r="A27" i="25"/>
  <c r="A28" i="25"/>
  <c r="A29" i="25"/>
  <c r="C29" i="25"/>
  <c r="C28" i="25"/>
  <c r="C27" i="25"/>
  <c r="G4" i="26"/>
  <c r="F4" i="26"/>
  <c r="E4" i="26"/>
  <c r="D4" i="26"/>
  <c r="G10" i="25"/>
  <c r="E10" i="25"/>
  <c r="D10" i="25"/>
  <c r="G9" i="25"/>
  <c r="F9" i="25"/>
  <c r="E9" i="25"/>
  <c r="D9" i="25"/>
  <c r="G8" i="25"/>
  <c r="F8" i="25"/>
  <c r="E8" i="25"/>
  <c r="D8" i="25"/>
  <c r="G7" i="25"/>
  <c r="E7" i="25"/>
  <c r="D7" i="25"/>
  <c r="C4" i="26"/>
  <c r="A9" i="25"/>
  <c r="A10" i="25"/>
  <c r="C10" i="25"/>
  <c r="C9" i="25"/>
  <c r="C7" i="25"/>
  <c r="G5" i="26"/>
  <c r="F5" i="26"/>
  <c r="C5" i="26"/>
  <c r="G13" i="25"/>
  <c r="E13" i="25"/>
  <c r="F12" i="25"/>
  <c r="E12" i="25"/>
  <c r="D12" i="25"/>
  <c r="G11" i="25"/>
  <c r="G12" i="5"/>
  <c r="E11" i="25"/>
  <c r="D11" i="25"/>
  <c r="C13" i="25"/>
  <c r="C12" i="25"/>
  <c r="A13" i="25"/>
  <c r="A12" i="25"/>
  <c r="C11" i="25"/>
  <c r="G13" i="4" l="1"/>
  <c r="J9" i="5"/>
  <c r="K11" i="4"/>
  <c r="I11" i="9"/>
  <c r="K10" i="5"/>
  <c r="I10" i="5"/>
  <c r="D13" i="9"/>
  <c r="C42" i="26" s="1"/>
  <c r="G29" i="25"/>
  <c r="D13" i="4"/>
  <c r="C37" i="26" s="1"/>
  <c r="H12" i="5"/>
  <c r="I12" i="5" s="1"/>
  <c r="I11" i="4"/>
  <c r="J9" i="4"/>
  <c r="K10" i="9"/>
  <c r="I10" i="9"/>
  <c r="J11" i="9"/>
  <c r="H13" i="4"/>
  <c r="F7" i="25"/>
  <c r="I8" i="5"/>
  <c r="I8" i="4"/>
  <c r="I12" i="4"/>
  <c r="H4" i="26" s="1"/>
  <c r="J8" i="5"/>
  <c r="J8" i="4"/>
  <c r="J12" i="4"/>
  <c r="I4" i="26" s="1"/>
  <c r="I9" i="9"/>
  <c r="J8" i="9"/>
  <c r="G26" i="25"/>
  <c r="C8" i="25"/>
  <c r="G12" i="25"/>
  <c r="K11" i="5"/>
  <c r="J5" i="26" s="1"/>
  <c r="K8" i="5"/>
  <c r="K8" i="4"/>
  <c r="K12" i="4"/>
  <c r="J4" i="26" s="1"/>
  <c r="J9" i="9"/>
  <c r="K12" i="9"/>
  <c r="J9" i="26" s="1"/>
  <c r="D9" i="26"/>
  <c r="F10" i="25"/>
  <c r="I9" i="5"/>
  <c r="I9" i="4"/>
  <c r="F13" i="9"/>
  <c r="E9" i="26"/>
  <c r="D28" i="25"/>
  <c r="D13" i="25"/>
  <c r="D12" i="5"/>
  <c r="C38" i="26" s="1"/>
  <c r="K9" i="5"/>
  <c r="K9" i="4"/>
  <c r="K11" i="9"/>
  <c r="K9" i="9"/>
  <c r="F13" i="25"/>
  <c r="I10" i="4"/>
  <c r="G13" i="9"/>
  <c r="F9" i="26"/>
  <c r="C26" i="25"/>
  <c r="F12" i="5"/>
  <c r="E5" i="26"/>
  <c r="J10" i="5"/>
  <c r="J10" i="4"/>
  <c r="J12" i="9"/>
  <c r="I9" i="26" s="1"/>
  <c r="F11" i="25"/>
  <c r="E13" i="4"/>
  <c r="K10" i="4"/>
  <c r="E12" i="5"/>
  <c r="D5" i="26"/>
  <c r="I11" i="5"/>
  <c r="H5" i="26" s="1"/>
  <c r="F13" i="4"/>
  <c r="I12" i="9"/>
  <c r="H9" i="26" s="1"/>
  <c r="J11" i="5"/>
  <c r="I5" i="26" s="1"/>
  <c r="J11" i="4"/>
  <c r="K8" i="9"/>
  <c r="J10" i="9"/>
  <c r="I8" i="9"/>
  <c r="E13" i="9"/>
  <c r="H13" i="9"/>
  <c r="J13" i="9" l="1"/>
  <c r="I13" i="4"/>
  <c r="K13" i="4"/>
  <c r="J12" i="5"/>
  <c r="J13" i="4"/>
  <c r="K12" i="5"/>
  <c r="K13" i="9"/>
  <c r="I13" i="9"/>
  <c r="K6" i="22" l="1"/>
  <c r="J30" i="23" s="1"/>
  <c r="J6" i="22"/>
  <c r="I30" i="23" s="1"/>
  <c r="I6" i="22"/>
  <c r="H30" i="23" s="1"/>
  <c r="I6" i="21"/>
  <c r="H54" i="23" s="1"/>
  <c r="K8" i="20"/>
  <c r="J8" i="20"/>
  <c r="I26" i="24" s="1"/>
  <c r="I8" i="20"/>
  <c r="H26" i="24" s="1"/>
  <c r="I5" i="18"/>
  <c r="I5" i="14"/>
  <c r="I6" i="18"/>
  <c r="D64" i="23"/>
  <c r="D63" i="23"/>
  <c r="E63" i="23"/>
  <c r="E64" i="23"/>
  <c r="F63" i="23"/>
  <c r="I6" i="14"/>
  <c r="C63" i="23"/>
  <c r="C64" i="23"/>
  <c r="I86" i="25"/>
  <c r="H86" i="25"/>
  <c r="J86" i="25"/>
  <c r="K6" i="14" l="1"/>
  <c r="K6" i="18"/>
  <c r="J5" i="14"/>
  <c r="K5" i="14"/>
  <c r="J4" i="14"/>
  <c r="I64" i="23" s="1"/>
  <c r="K4" i="14"/>
  <c r="J64" i="23" s="1"/>
  <c r="J6" i="14"/>
  <c r="J6" i="18"/>
  <c r="I4" i="14"/>
  <c r="H64" i="23" s="1"/>
  <c r="G29" i="24"/>
  <c r="G28" i="24"/>
  <c r="G26" i="24"/>
  <c r="F26" i="24"/>
  <c r="E26" i="24"/>
  <c r="D26" i="24"/>
  <c r="E19" i="24"/>
  <c r="G18" i="24"/>
  <c r="F16" i="24"/>
  <c r="E16" i="24"/>
  <c r="G21" i="24"/>
  <c r="F21" i="24"/>
  <c r="E21" i="24"/>
  <c r="D21" i="24"/>
  <c r="G20" i="24"/>
  <c r="F20" i="24"/>
  <c r="E20" i="24"/>
  <c r="D20" i="24"/>
  <c r="F19" i="24"/>
  <c r="D19" i="24"/>
  <c r="G16" i="24"/>
  <c r="D16" i="24"/>
  <c r="F18" i="24"/>
  <c r="E18" i="24"/>
  <c r="D18" i="24"/>
  <c r="G17" i="24"/>
  <c r="F17" i="24"/>
  <c r="E17" i="24"/>
  <c r="D17" i="24"/>
  <c r="F29" i="23"/>
  <c r="G28" i="23"/>
  <c r="F31" i="23"/>
  <c r="F30" i="23"/>
  <c r="E30" i="23"/>
  <c r="D30" i="23"/>
  <c r="D31" i="23"/>
  <c r="E31" i="23"/>
  <c r="I7" i="22"/>
  <c r="H31" i="23" s="1"/>
  <c r="D32" i="23"/>
  <c r="E32" i="23"/>
  <c r="I8" i="22"/>
  <c r="H32" i="23" s="1"/>
  <c r="D29" i="24"/>
  <c r="E29" i="24"/>
  <c r="I11" i="21"/>
  <c r="E28" i="24"/>
  <c r="D28" i="24"/>
  <c r="I10" i="21"/>
  <c r="E29" i="23"/>
  <c r="E28" i="23"/>
  <c r="C28" i="23"/>
  <c r="I9" i="21"/>
  <c r="H29" i="23" s="1"/>
  <c r="I8" i="21"/>
  <c r="H28" i="23" s="1"/>
  <c r="D53" i="23"/>
  <c r="D54" i="23"/>
  <c r="E53" i="23"/>
  <c r="E54" i="23"/>
  <c r="D65" i="23"/>
  <c r="F29" i="24" l="1"/>
  <c r="K11" i="21"/>
  <c r="J11" i="21"/>
  <c r="K12" i="13"/>
  <c r="J12" i="13"/>
  <c r="I18" i="24" s="1"/>
  <c r="I12" i="13"/>
  <c r="H18" i="24" s="1"/>
  <c r="K8" i="21"/>
  <c r="J28" i="23" s="1"/>
  <c r="J8" i="21"/>
  <c r="I28" i="23" s="1"/>
  <c r="K9" i="21"/>
  <c r="J29" i="23" s="1"/>
  <c r="J9" i="21"/>
  <c r="I29" i="23" s="1"/>
  <c r="C29" i="23"/>
  <c r="G19" i="24"/>
  <c r="I9" i="14"/>
  <c r="H19" i="24" s="1"/>
  <c r="K9" i="14"/>
  <c r="J9" i="14"/>
  <c r="I19" i="24" s="1"/>
  <c r="K8" i="22"/>
  <c r="J32" i="23" s="1"/>
  <c r="J8" i="22"/>
  <c r="I32" i="23" s="1"/>
  <c r="K10" i="14"/>
  <c r="J10" i="14"/>
  <c r="I20" i="24" s="1"/>
  <c r="I10" i="14"/>
  <c r="H20" i="24" s="1"/>
  <c r="K6" i="21"/>
  <c r="J54" i="23" s="1"/>
  <c r="J6" i="21"/>
  <c r="I54" i="23" s="1"/>
  <c r="F65" i="23"/>
  <c r="I4" i="18"/>
  <c r="H65" i="23" s="1"/>
  <c r="K10" i="21"/>
  <c r="J10" i="21"/>
  <c r="F32" i="23"/>
  <c r="I10" i="13"/>
  <c r="H16" i="24" s="1"/>
  <c r="K10" i="13"/>
  <c r="J10" i="13"/>
  <c r="I16" i="24" s="1"/>
  <c r="F28" i="24"/>
  <c r="C53" i="23"/>
  <c r="K7" i="21"/>
  <c r="J53" i="23" s="1"/>
  <c r="J7" i="21"/>
  <c r="I53" i="23" s="1"/>
  <c r="K7" i="22"/>
  <c r="J31" i="23" s="1"/>
  <c r="J7" i="22"/>
  <c r="I31" i="23" s="1"/>
  <c r="F28" i="23"/>
  <c r="K11" i="13"/>
  <c r="J11" i="13"/>
  <c r="I17" i="24" s="1"/>
  <c r="I11" i="13"/>
  <c r="H17" i="24" s="1"/>
  <c r="C31" i="23"/>
  <c r="I5" i="15"/>
  <c r="H21" i="24" s="1"/>
  <c r="K5" i="15"/>
  <c r="J5" i="15"/>
  <c r="I21" i="24" s="1"/>
  <c r="E65" i="23"/>
  <c r="J4" i="18" l="1"/>
  <c r="I65" i="23" s="1"/>
  <c r="K4" i="18"/>
  <c r="J65" i="23" s="1"/>
  <c r="G24" i="24" l="1"/>
  <c r="J9" i="18"/>
  <c r="I24" i="24" s="1"/>
  <c r="D24" i="24"/>
  <c r="E24" i="24"/>
  <c r="F24" i="24"/>
  <c r="G24" i="23"/>
  <c r="F24" i="23"/>
  <c r="E24" i="23"/>
  <c r="D24" i="23"/>
  <c r="C24" i="23"/>
  <c r="I4" i="17" l="1"/>
  <c r="F67" i="23"/>
  <c r="H24" i="23"/>
  <c r="I24" i="23"/>
  <c r="J24" i="23"/>
  <c r="I7" i="18"/>
  <c r="K7" i="18"/>
  <c r="J7" i="18"/>
  <c r="K9" i="18"/>
  <c r="I9" i="18"/>
  <c r="H24" i="24" s="1"/>
  <c r="K5" i="18"/>
  <c r="J5" i="18"/>
  <c r="E67" i="23"/>
  <c r="D67" i="23"/>
  <c r="C67" i="23"/>
  <c r="F23" i="24"/>
  <c r="E23" i="24"/>
  <c r="D23" i="24"/>
  <c r="G23" i="23"/>
  <c r="F23" i="23"/>
  <c r="E23" i="23"/>
  <c r="D23" i="23"/>
  <c r="C23" i="23"/>
  <c r="E26" i="23"/>
  <c r="F26" i="23"/>
  <c r="G26" i="23"/>
  <c r="E70" i="23"/>
  <c r="D70" i="23"/>
  <c r="C70" i="23"/>
  <c r="E69" i="23"/>
  <c r="D69" i="23"/>
  <c r="C69" i="23"/>
  <c r="I6" i="20"/>
  <c r="F69" i="23"/>
  <c r="I6" i="19"/>
  <c r="E25" i="23"/>
  <c r="D25" i="23"/>
  <c r="E68" i="23"/>
  <c r="D68" i="23"/>
  <c r="C68" i="23"/>
  <c r="D22" i="24"/>
  <c r="E22" i="24"/>
  <c r="F22" i="24"/>
  <c r="I4" i="19" l="1"/>
  <c r="F68" i="23"/>
  <c r="I4" i="16"/>
  <c r="F66" i="23"/>
  <c r="I5" i="20"/>
  <c r="F70" i="23"/>
  <c r="H26" i="23"/>
  <c r="H23" i="23"/>
  <c r="I23" i="23"/>
  <c r="J23" i="23"/>
  <c r="K4" i="17"/>
  <c r="J4" i="17"/>
  <c r="K5" i="20"/>
  <c r="J5" i="20"/>
  <c r="C25" i="23"/>
  <c r="K5" i="19"/>
  <c r="J5" i="19"/>
  <c r="K6" i="19"/>
  <c r="J6" i="19"/>
  <c r="K4" i="20"/>
  <c r="J70" i="23" s="1"/>
  <c r="J4" i="20"/>
  <c r="I70" i="23" s="1"/>
  <c r="K6" i="20"/>
  <c r="J6" i="20"/>
  <c r="F25" i="23"/>
  <c r="H25" i="23" s="1"/>
  <c r="I5" i="19"/>
  <c r="I5" i="17"/>
  <c r="K5" i="17"/>
  <c r="J5" i="17"/>
  <c r="I4" i="20"/>
  <c r="H70" i="23" s="1"/>
  <c r="K9" i="20"/>
  <c r="J9" i="20"/>
  <c r="I9" i="20"/>
  <c r="K4" i="19"/>
  <c r="J4" i="19"/>
  <c r="I7" i="20"/>
  <c r="K7" i="20"/>
  <c r="J7" i="20"/>
  <c r="D26" i="23"/>
  <c r="G22" i="24"/>
  <c r="K6" i="16"/>
  <c r="J6" i="16"/>
  <c r="I22" i="24" s="1"/>
  <c r="I6" i="16"/>
  <c r="H22" i="24" s="1"/>
  <c r="G23" i="24"/>
  <c r="K6" i="17"/>
  <c r="J6" i="17"/>
  <c r="I23" i="24" s="1"/>
  <c r="I6" i="17"/>
  <c r="H23" i="24" s="1"/>
  <c r="K7" i="19"/>
  <c r="J7" i="19"/>
  <c r="I7" i="19"/>
  <c r="E66" i="23"/>
  <c r="D66" i="23"/>
  <c r="C66" i="23"/>
  <c r="G22" i="23"/>
  <c r="F22" i="23"/>
  <c r="E22" i="23"/>
  <c r="D22" i="23"/>
  <c r="C22" i="23"/>
  <c r="D21" i="23"/>
  <c r="C21" i="23"/>
  <c r="G21" i="23"/>
  <c r="F21" i="23"/>
  <c r="E21" i="23"/>
  <c r="G19" i="23"/>
  <c r="F19" i="23"/>
  <c r="E19" i="23"/>
  <c r="D19" i="23"/>
  <c r="I6" i="13"/>
  <c r="E62" i="23"/>
  <c r="D62" i="23"/>
  <c r="C62" i="23"/>
  <c r="F14" i="24"/>
  <c r="E14" i="24"/>
  <c r="D14" i="24"/>
  <c r="E12" i="23"/>
  <c r="I4" i="12"/>
  <c r="H19" i="23" l="1"/>
  <c r="G20" i="23"/>
  <c r="I22" i="23"/>
  <c r="H22" i="23"/>
  <c r="J22" i="23"/>
  <c r="I25" i="23"/>
  <c r="J25" i="23"/>
  <c r="C20" i="23"/>
  <c r="H21" i="23"/>
  <c r="I21" i="23"/>
  <c r="J21" i="23"/>
  <c r="I5" i="13"/>
  <c r="F62" i="23"/>
  <c r="E20" i="23"/>
  <c r="K5" i="16"/>
  <c r="J5" i="16"/>
  <c r="I5" i="16"/>
  <c r="K4" i="13"/>
  <c r="J62" i="23" s="1"/>
  <c r="J4" i="13"/>
  <c r="I62" i="23" s="1"/>
  <c r="I4" i="13"/>
  <c r="H62" i="23" s="1"/>
  <c r="I8" i="14"/>
  <c r="K8" i="14"/>
  <c r="J8" i="14"/>
  <c r="K4" i="16"/>
  <c r="J4" i="16"/>
  <c r="C17" i="23"/>
  <c r="K4" i="15"/>
  <c r="J4" i="15"/>
  <c r="I4" i="15"/>
  <c r="K7" i="13"/>
  <c r="J7" i="13"/>
  <c r="I7" i="13"/>
  <c r="K5" i="13"/>
  <c r="J5" i="13"/>
  <c r="F20" i="23"/>
  <c r="K7" i="14"/>
  <c r="J7" i="14"/>
  <c r="I7" i="14"/>
  <c r="D20" i="23"/>
  <c r="F17" i="23"/>
  <c r="I6" i="12"/>
  <c r="H17" i="23" s="1"/>
  <c r="K6" i="13"/>
  <c r="J6" i="13"/>
  <c r="K8" i="13"/>
  <c r="J8" i="13"/>
  <c r="I8" i="13"/>
  <c r="I9" i="13"/>
  <c r="K9" i="13"/>
  <c r="J9" i="13"/>
  <c r="G14" i="24"/>
  <c r="K7" i="12"/>
  <c r="J7" i="12"/>
  <c r="I7" i="12"/>
  <c r="E17" i="23"/>
  <c r="I5" i="12"/>
  <c r="D17" i="23"/>
  <c r="I12" i="11"/>
  <c r="J20" i="23" l="1"/>
  <c r="I20" i="23"/>
  <c r="H20" i="23"/>
  <c r="F12" i="23"/>
  <c r="I7" i="11"/>
  <c r="H12" i="23" s="1"/>
  <c r="F13" i="23"/>
  <c r="I8" i="11"/>
  <c r="H13" i="23" s="1"/>
  <c r="F15" i="23"/>
  <c r="I10" i="11"/>
  <c r="H15" i="23" s="1"/>
  <c r="F14" i="23"/>
  <c r="I9" i="11"/>
  <c r="H14" i="23" s="1"/>
  <c r="J6" i="12"/>
  <c r="I17" i="23" s="1"/>
  <c r="K6" i="12"/>
  <c r="J17" i="23" s="1"/>
  <c r="F16" i="23"/>
  <c r="I11" i="11"/>
  <c r="H16" i="23" s="1"/>
  <c r="K4" i="12"/>
  <c r="J4" i="12"/>
  <c r="E16" i="23"/>
  <c r="D16" i="23"/>
  <c r="E15" i="23"/>
  <c r="D15" i="23"/>
  <c r="E14" i="23"/>
  <c r="D14" i="23"/>
  <c r="E13" i="23"/>
  <c r="D13" i="23"/>
  <c r="D12" i="23"/>
  <c r="F13" i="24"/>
  <c r="E13" i="24"/>
  <c r="D13" i="24"/>
  <c r="F12" i="24"/>
  <c r="E12" i="24"/>
  <c r="D12" i="24"/>
  <c r="C30" i="24"/>
  <c r="F31" i="2"/>
  <c r="D31" i="2"/>
  <c r="E30" i="2"/>
  <c r="C31" i="2"/>
  <c r="C30" i="2"/>
  <c r="F28" i="2"/>
  <c r="E28" i="2"/>
  <c r="D28" i="2"/>
  <c r="C29" i="2"/>
  <c r="C21" i="2"/>
  <c r="C22" i="2"/>
  <c r="F23" i="2"/>
  <c r="E23" i="2"/>
  <c r="D23" i="2"/>
  <c r="C23" i="2"/>
  <c r="C24" i="2"/>
  <c r="C25" i="2"/>
  <c r="F18" i="2"/>
  <c r="E18" i="2"/>
  <c r="D18" i="2"/>
  <c r="C18" i="2"/>
  <c r="D25" i="26"/>
  <c r="E25" i="26"/>
  <c r="G84" i="25"/>
  <c r="F84" i="25"/>
  <c r="E84" i="25"/>
  <c r="D84" i="25"/>
  <c r="G83" i="25"/>
  <c r="F83" i="25"/>
  <c r="E83" i="25"/>
  <c r="D83" i="25"/>
  <c r="G82" i="25"/>
  <c r="F82" i="25"/>
  <c r="E82" i="25"/>
  <c r="D82" i="25"/>
  <c r="G81" i="25"/>
  <c r="F81" i="25"/>
  <c r="E81" i="25"/>
  <c r="D81" i="25"/>
  <c r="F22" i="26"/>
  <c r="E22" i="26"/>
  <c r="D22" i="26"/>
  <c r="G73" i="25"/>
  <c r="F73" i="25"/>
  <c r="E73" i="25"/>
  <c r="D73" i="25"/>
  <c r="G72" i="25"/>
  <c r="F72" i="25"/>
  <c r="E72" i="25"/>
  <c r="D72" i="25"/>
  <c r="G75" i="25"/>
  <c r="F75" i="25"/>
  <c r="E75" i="25"/>
  <c r="D75" i="25"/>
  <c r="G74" i="25"/>
  <c r="F74" i="25"/>
  <c r="E74" i="25"/>
  <c r="D74" i="25"/>
  <c r="F24" i="26"/>
  <c r="D24" i="26"/>
  <c r="G80" i="25"/>
  <c r="F80" i="25"/>
  <c r="E80" i="25"/>
  <c r="D80" i="25"/>
  <c r="G79" i="25"/>
  <c r="F79" i="25"/>
  <c r="E79" i="25"/>
  <c r="D79" i="25"/>
  <c r="G78" i="25"/>
  <c r="F78" i="25"/>
  <c r="E78" i="25"/>
  <c r="D78" i="25"/>
  <c r="E77" i="25"/>
  <c r="F21" i="26"/>
  <c r="E21" i="26"/>
  <c r="D21" i="26"/>
  <c r="G71" i="25"/>
  <c r="F71" i="25"/>
  <c r="E71" i="25"/>
  <c r="D71" i="25"/>
  <c r="G70" i="25"/>
  <c r="F70" i="25"/>
  <c r="E70" i="25"/>
  <c r="D70" i="25"/>
  <c r="G69" i="25"/>
  <c r="F69" i="25"/>
  <c r="E69" i="25"/>
  <c r="D69" i="25"/>
  <c r="G68" i="25"/>
  <c r="D68" i="25"/>
  <c r="F20" i="26"/>
  <c r="E20" i="26"/>
  <c r="D20" i="26"/>
  <c r="G67" i="25"/>
  <c r="F67" i="25"/>
  <c r="E67" i="25"/>
  <c r="D67" i="25"/>
  <c r="G66" i="25"/>
  <c r="F66" i="25"/>
  <c r="E66" i="25"/>
  <c r="D66" i="25"/>
  <c r="G65" i="25"/>
  <c r="F65" i="25"/>
  <c r="E65" i="25"/>
  <c r="D65" i="25"/>
  <c r="G64" i="25"/>
  <c r="F64" i="25"/>
  <c r="E64" i="25"/>
  <c r="D64" i="25"/>
  <c r="F19" i="26"/>
  <c r="E19" i="26"/>
  <c r="D19" i="26"/>
  <c r="G63" i="25"/>
  <c r="F63" i="25"/>
  <c r="E63" i="25"/>
  <c r="D63" i="25"/>
  <c r="G62" i="25"/>
  <c r="F62" i="25"/>
  <c r="E62" i="25"/>
  <c r="D62" i="25"/>
  <c r="G61" i="25"/>
  <c r="F61" i="25"/>
  <c r="E61" i="25"/>
  <c r="D61" i="25"/>
  <c r="G60" i="25"/>
  <c r="F60" i="25"/>
  <c r="E60" i="25"/>
  <c r="D60" i="25"/>
  <c r="G59" i="25"/>
  <c r="F59" i="25"/>
  <c r="E59" i="25"/>
  <c r="D59" i="25"/>
  <c r="G58" i="25"/>
  <c r="F58" i="25"/>
  <c r="E58" i="25"/>
  <c r="D58" i="25"/>
  <c r="G57" i="25"/>
  <c r="F57" i="25"/>
  <c r="E57" i="25"/>
  <c r="D57" i="25"/>
  <c r="G56" i="25"/>
  <c r="F56" i="25"/>
  <c r="E56" i="25"/>
  <c r="D56" i="25"/>
  <c r="F15" i="26"/>
  <c r="E15" i="26"/>
  <c r="D15" i="26"/>
  <c r="G47" i="25"/>
  <c r="F47" i="25"/>
  <c r="E47" i="25"/>
  <c r="D47" i="25"/>
  <c r="G46" i="25"/>
  <c r="F46" i="25"/>
  <c r="E46" i="25"/>
  <c r="D46" i="25"/>
  <c r="G45" i="25"/>
  <c r="F45" i="25"/>
  <c r="E45" i="25"/>
  <c r="D45" i="25"/>
  <c r="G44" i="25"/>
  <c r="F44" i="25"/>
  <c r="E44" i="25"/>
  <c r="D44" i="25"/>
  <c r="E20" i="2"/>
  <c r="D20" i="2"/>
  <c r="C20" i="2"/>
  <c r="F20" i="2"/>
  <c r="C19" i="2"/>
  <c r="F16" i="26"/>
  <c r="E16" i="26"/>
  <c r="D16" i="26"/>
  <c r="G51" i="25"/>
  <c r="F51" i="25"/>
  <c r="E51" i="25"/>
  <c r="D51" i="25"/>
  <c r="G50" i="25"/>
  <c r="F50" i="25"/>
  <c r="E50" i="25"/>
  <c r="D50" i="25"/>
  <c r="G49" i="25"/>
  <c r="F49" i="25"/>
  <c r="E49" i="25"/>
  <c r="D49" i="25"/>
  <c r="G48" i="25"/>
  <c r="F48" i="25"/>
  <c r="E48" i="25"/>
  <c r="D48" i="25"/>
  <c r="F17" i="26"/>
  <c r="E17" i="26"/>
  <c r="D17" i="26"/>
  <c r="G55" i="25"/>
  <c r="F55" i="25"/>
  <c r="E55" i="25"/>
  <c r="D55" i="25"/>
  <c r="G54" i="25"/>
  <c r="F54" i="25"/>
  <c r="E54" i="25"/>
  <c r="D54" i="25"/>
  <c r="G53" i="25"/>
  <c r="F53" i="25"/>
  <c r="E53" i="25"/>
  <c r="D53" i="25"/>
  <c r="G52" i="25"/>
  <c r="F52" i="25"/>
  <c r="E52" i="25"/>
  <c r="D52" i="25"/>
  <c r="C52" i="25"/>
  <c r="C17" i="26"/>
  <c r="A54" i="25"/>
  <c r="A53" i="25"/>
  <c r="A55" i="25"/>
  <c r="C55" i="25"/>
  <c r="C54" i="25"/>
  <c r="C53" i="25"/>
  <c r="D39" i="25"/>
  <c r="E39" i="25"/>
  <c r="F39" i="25"/>
  <c r="D40" i="25"/>
  <c r="E40" i="25"/>
  <c r="F40" i="25"/>
  <c r="D41" i="25"/>
  <c r="E41" i="25"/>
  <c r="F41" i="25"/>
  <c r="D42" i="25"/>
  <c r="E42" i="25"/>
  <c r="F42" i="25"/>
  <c r="D13" i="26"/>
  <c r="E13" i="26"/>
  <c r="F13" i="26"/>
  <c r="F16" i="2"/>
  <c r="E16" i="2"/>
  <c r="D16" i="2"/>
  <c r="C16" i="2"/>
  <c r="F15" i="2"/>
  <c r="E15" i="2"/>
  <c r="D15" i="2"/>
  <c r="F14" i="2"/>
  <c r="E14" i="2"/>
  <c r="D14" i="2"/>
  <c r="F13" i="2"/>
  <c r="C15" i="2"/>
  <c r="C14" i="2"/>
  <c r="C13" i="2"/>
  <c r="F12" i="26"/>
  <c r="F11" i="26" s="1"/>
  <c r="D12" i="26"/>
  <c r="D11" i="26" s="1"/>
  <c r="F38" i="25"/>
  <c r="E38" i="25"/>
  <c r="D38" i="25"/>
  <c r="F37" i="25"/>
  <c r="E37" i="25"/>
  <c r="D37" i="25"/>
  <c r="F36" i="25"/>
  <c r="E36" i="25"/>
  <c r="D36" i="25"/>
  <c r="F35" i="25"/>
  <c r="F34" i="25" s="1"/>
  <c r="E35" i="25"/>
  <c r="E34" i="25" s="1"/>
  <c r="D35" i="25"/>
  <c r="D34" i="25" s="1"/>
  <c r="C31" i="25"/>
  <c r="G10" i="26"/>
  <c r="F10" i="26"/>
  <c r="E10" i="26"/>
  <c r="D10" i="26"/>
  <c r="F33" i="25"/>
  <c r="E33" i="25"/>
  <c r="D33" i="25"/>
  <c r="F32" i="25"/>
  <c r="E32" i="25"/>
  <c r="D32" i="25"/>
  <c r="F31" i="25"/>
  <c r="E31" i="25"/>
  <c r="D31" i="25"/>
  <c r="F30" i="25"/>
  <c r="C32" i="25"/>
  <c r="C33" i="25"/>
  <c r="G8" i="26"/>
  <c r="F8" i="26"/>
  <c r="E8" i="26"/>
  <c r="D8" i="26"/>
  <c r="F25" i="25"/>
  <c r="E25" i="25"/>
  <c r="D25" i="25"/>
  <c r="F24" i="25"/>
  <c r="E24" i="25"/>
  <c r="D24" i="25"/>
  <c r="F23" i="25"/>
  <c r="E23" i="25"/>
  <c r="D23" i="25"/>
  <c r="F22" i="25"/>
  <c r="F20" i="25"/>
  <c r="E20" i="25"/>
  <c r="D20" i="25"/>
  <c r="F19" i="25"/>
  <c r="E19" i="25"/>
  <c r="D19" i="25"/>
  <c r="F18" i="25"/>
  <c r="E18" i="25"/>
  <c r="D18" i="25"/>
  <c r="G7" i="26"/>
  <c r="F7" i="26"/>
  <c r="E7" i="26"/>
  <c r="D7" i="26"/>
  <c r="G6" i="26"/>
  <c r="F6" i="26"/>
  <c r="E6" i="26"/>
  <c r="D6" i="26"/>
  <c r="F17" i="25"/>
  <c r="E17" i="25"/>
  <c r="D17" i="25"/>
  <c r="F16" i="25"/>
  <c r="E16" i="25"/>
  <c r="D16" i="25"/>
  <c r="F15" i="25"/>
  <c r="E15" i="25"/>
  <c r="D15" i="25"/>
  <c r="F14" i="25"/>
  <c r="E14" i="25"/>
  <c r="D14" i="25"/>
  <c r="G1" i="23"/>
  <c r="G60" i="23" s="1"/>
  <c r="F1" i="23"/>
  <c r="E1" i="23"/>
  <c r="D1" i="23"/>
  <c r="C1" i="23"/>
  <c r="H2" i="22"/>
  <c r="G2" i="22"/>
  <c r="F2" i="22"/>
  <c r="E2" i="22"/>
  <c r="D2" i="22"/>
  <c r="H2" i="21"/>
  <c r="G2" i="21"/>
  <c r="F2" i="21"/>
  <c r="E2" i="21"/>
  <c r="D2" i="21"/>
  <c r="H2" i="20"/>
  <c r="G2" i="20"/>
  <c r="F2" i="20"/>
  <c r="E2" i="20"/>
  <c r="D2" i="20"/>
  <c r="H2" i="19"/>
  <c r="G2" i="19"/>
  <c r="F2" i="19"/>
  <c r="E2" i="19"/>
  <c r="D2" i="19"/>
  <c r="H2" i="18"/>
  <c r="G2" i="18"/>
  <c r="F2" i="18"/>
  <c r="E2" i="18"/>
  <c r="D2" i="18"/>
  <c r="H2" i="17"/>
  <c r="G2" i="17"/>
  <c r="F2" i="17"/>
  <c r="E2" i="17"/>
  <c r="D2" i="17"/>
  <c r="H2" i="16"/>
  <c r="G2" i="16"/>
  <c r="F2" i="16"/>
  <c r="E2" i="16"/>
  <c r="D2" i="16"/>
  <c r="H2" i="15"/>
  <c r="G2" i="15"/>
  <c r="F2" i="15"/>
  <c r="E2" i="15"/>
  <c r="D2" i="15"/>
  <c r="H2" i="14"/>
  <c r="G2" i="14"/>
  <c r="F2" i="14"/>
  <c r="E2" i="14"/>
  <c r="D2" i="14"/>
  <c r="H2" i="12"/>
  <c r="G2" i="12"/>
  <c r="F2" i="12"/>
  <c r="E2" i="12"/>
  <c r="D2" i="12"/>
  <c r="H2" i="11"/>
  <c r="G2" i="11"/>
  <c r="F2" i="11"/>
  <c r="E2" i="11"/>
  <c r="D2" i="11"/>
  <c r="F3" i="26"/>
  <c r="E3" i="26"/>
  <c r="D3" i="26"/>
  <c r="D6" i="25"/>
  <c r="D5" i="25"/>
  <c r="D4" i="25"/>
  <c r="D3" i="25"/>
  <c r="E6" i="25"/>
  <c r="E5" i="25"/>
  <c r="E4" i="25"/>
  <c r="E3" i="25"/>
  <c r="F6" i="25"/>
  <c r="F5" i="25"/>
  <c r="F4" i="25"/>
  <c r="F3" i="25"/>
  <c r="G6" i="25"/>
  <c r="G5" i="25"/>
  <c r="G4" i="25"/>
  <c r="G3" i="25"/>
  <c r="H18" i="5" l="1"/>
  <c r="E19" i="9"/>
  <c r="D42" i="26" s="1"/>
  <c r="D19" i="9"/>
  <c r="E13" i="7"/>
  <c r="D40" i="26" s="1"/>
  <c r="D13" i="3"/>
  <c r="D12" i="17"/>
  <c r="K14" i="11"/>
  <c r="J14" i="11"/>
  <c r="I14" i="11"/>
  <c r="G13" i="24"/>
  <c r="C16" i="23"/>
  <c r="K11" i="11"/>
  <c r="J16" i="23" s="1"/>
  <c r="J11" i="11"/>
  <c r="I16" i="23" s="1"/>
  <c r="C12" i="23"/>
  <c r="J7" i="11"/>
  <c r="I12" i="23" s="1"/>
  <c r="K7" i="11"/>
  <c r="J12" i="23" s="1"/>
  <c r="D18" i="13"/>
  <c r="I8" i="19"/>
  <c r="K8" i="19"/>
  <c r="J8" i="19"/>
  <c r="C13" i="23"/>
  <c r="J8" i="11"/>
  <c r="I13" i="23" s="1"/>
  <c r="K8" i="11"/>
  <c r="J13" i="23" s="1"/>
  <c r="K12" i="11"/>
  <c r="J12" i="11"/>
  <c r="K9" i="22"/>
  <c r="J9" i="22"/>
  <c r="I25" i="24" s="1"/>
  <c r="I9" i="22"/>
  <c r="H25" i="24" s="1"/>
  <c r="G30" i="24"/>
  <c r="G25" i="24"/>
  <c r="G14" i="8"/>
  <c r="F41" i="26" s="1"/>
  <c r="F30" i="24"/>
  <c r="F25" i="24"/>
  <c r="C14" i="23"/>
  <c r="J9" i="11"/>
  <c r="I14" i="23" s="1"/>
  <c r="K9" i="11"/>
  <c r="J14" i="23" s="1"/>
  <c r="D17" i="21"/>
  <c r="E25" i="24"/>
  <c r="E30" i="24"/>
  <c r="J13" i="11"/>
  <c r="K13" i="11"/>
  <c r="I13" i="11"/>
  <c r="G12" i="24"/>
  <c r="D25" i="24"/>
  <c r="D30" i="24"/>
  <c r="E76" i="25"/>
  <c r="C15" i="23"/>
  <c r="K10" i="11"/>
  <c r="J15" i="23" s="1"/>
  <c r="J10" i="11"/>
  <c r="I15" i="23" s="1"/>
  <c r="K5" i="12"/>
  <c r="J5" i="12"/>
  <c r="H6" i="25"/>
  <c r="G14" i="19"/>
  <c r="F54" i="26" s="1"/>
  <c r="F68" i="25"/>
  <c r="H68" i="25" s="1"/>
  <c r="D22" i="2"/>
  <c r="H71" i="25"/>
  <c r="E17" i="21"/>
  <c r="D57" i="26" s="1"/>
  <c r="D77" i="25"/>
  <c r="D76" i="25" s="1"/>
  <c r="H73" i="25"/>
  <c r="H84" i="25"/>
  <c r="E22" i="2"/>
  <c r="H79" i="25"/>
  <c r="F22" i="2"/>
  <c r="H13" i="3"/>
  <c r="G36" i="26" s="1"/>
  <c r="G3" i="26"/>
  <c r="H58" i="25"/>
  <c r="H17" i="21"/>
  <c r="G77" i="25"/>
  <c r="H75" i="25"/>
  <c r="F24" i="2"/>
  <c r="H69" i="25"/>
  <c r="D15" i="20"/>
  <c r="D21" i="2"/>
  <c r="H64" i="25"/>
  <c r="H13" i="7"/>
  <c r="G40" i="26" s="1"/>
  <c r="D11" i="15"/>
  <c r="C50" i="26" s="1"/>
  <c r="D16" i="14"/>
  <c r="H56" i="25"/>
  <c r="H62" i="25"/>
  <c r="H65" i="25"/>
  <c r="E21" i="2"/>
  <c r="H80" i="25"/>
  <c r="F21" i="2"/>
  <c r="H67" i="25"/>
  <c r="E24" i="2"/>
  <c r="D13" i="12"/>
  <c r="D19" i="2"/>
  <c r="H59" i="25"/>
  <c r="H83" i="25"/>
  <c r="H61" i="25"/>
  <c r="G17" i="21"/>
  <c r="F57" i="26" s="1"/>
  <c r="F77" i="25"/>
  <c r="F76" i="25" s="1"/>
  <c r="H82" i="25"/>
  <c r="D14" i="10"/>
  <c r="C43" i="26" s="1"/>
  <c r="E19" i="2"/>
  <c r="D12" i="16"/>
  <c r="H70" i="25"/>
  <c r="H78" i="25"/>
  <c r="H72" i="25"/>
  <c r="D25" i="2"/>
  <c r="F19" i="2"/>
  <c r="H57" i="25"/>
  <c r="H60" i="25"/>
  <c r="H63" i="25"/>
  <c r="H66" i="25"/>
  <c r="E25" i="2"/>
  <c r="D24" i="2"/>
  <c r="F14" i="19"/>
  <c r="E54" i="26" s="1"/>
  <c r="E68" i="25"/>
  <c r="E43" i="25" s="1"/>
  <c r="H74" i="25"/>
  <c r="H81" i="25"/>
  <c r="F25" i="2"/>
  <c r="D14" i="8"/>
  <c r="C41" i="26" s="1"/>
  <c r="G13" i="12"/>
  <c r="F46" i="26" s="1"/>
  <c r="G13" i="6"/>
  <c r="F39" i="26" s="1"/>
  <c r="D13" i="7"/>
  <c r="C40" i="26" s="1"/>
  <c r="D15" i="18"/>
  <c r="H18" i="13"/>
  <c r="G48" i="26" s="1"/>
  <c r="D14" i="19"/>
  <c r="E15" i="20"/>
  <c r="D55" i="26" s="1"/>
  <c r="F18" i="13"/>
  <c r="E48" i="26" s="1"/>
  <c r="F15" i="20"/>
  <c r="E55" i="26" s="1"/>
  <c r="D20" i="11"/>
  <c r="G15" i="20"/>
  <c r="F55" i="26" s="1"/>
  <c r="D15" i="22"/>
  <c r="F15" i="22"/>
  <c r="E58" i="26" s="1"/>
  <c r="F13" i="7"/>
  <c r="E40" i="26" s="1"/>
  <c r="G13" i="7"/>
  <c r="F40" i="26" s="1"/>
  <c r="E13" i="12"/>
  <c r="D46" i="26" s="1"/>
  <c r="H14" i="19"/>
  <c r="G54" i="26" s="1"/>
  <c r="D23" i="26"/>
  <c r="D18" i="5"/>
  <c r="K6" i="11"/>
  <c r="J6" i="11"/>
  <c r="I6" i="11"/>
  <c r="G18" i="2"/>
  <c r="K3" i="13"/>
  <c r="J3" i="13"/>
  <c r="I3" i="13"/>
  <c r="G16" i="2"/>
  <c r="K3" i="12"/>
  <c r="J3" i="12"/>
  <c r="I3" i="12"/>
  <c r="H11" i="2"/>
  <c r="I11" i="2"/>
  <c r="J11" i="2"/>
  <c r="G19" i="2"/>
  <c r="J3" i="14"/>
  <c r="I63" i="23" s="1"/>
  <c r="K3" i="14"/>
  <c r="J63" i="23" s="1"/>
  <c r="I3" i="14"/>
  <c r="H63" i="23" s="1"/>
  <c r="D3" i="22"/>
  <c r="G21" i="2"/>
  <c r="I3" i="16"/>
  <c r="H66" i="23" s="1"/>
  <c r="K3" i="16"/>
  <c r="J66" i="23" s="1"/>
  <c r="J3" i="16"/>
  <c r="I66" i="23" s="1"/>
  <c r="G22" i="2"/>
  <c r="I3" i="17"/>
  <c r="H67" i="23" s="1"/>
  <c r="K3" i="17"/>
  <c r="J67" i="23" s="1"/>
  <c r="J3" i="17"/>
  <c r="I67" i="23" s="1"/>
  <c r="C12" i="2"/>
  <c r="G13" i="2"/>
  <c r="K4" i="11"/>
  <c r="J4" i="11"/>
  <c r="I4" i="11"/>
  <c r="G14" i="2"/>
  <c r="I5" i="11"/>
  <c r="K5" i="11"/>
  <c r="J5" i="11"/>
  <c r="G25" i="2"/>
  <c r="I3" i="20"/>
  <c r="H69" i="23" s="1"/>
  <c r="J3" i="20"/>
  <c r="I69" i="23" s="1"/>
  <c r="K3" i="20"/>
  <c r="J69" i="23" s="1"/>
  <c r="I12" i="6"/>
  <c r="H6" i="26" s="1"/>
  <c r="K12" i="6"/>
  <c r="J6" i="26" s="1"/>
  <c r="J12" i="6"/>
  <c r="I6" i="26" s="1"/>
  <c r="K9" i="15"/>
  <c r="J9" i="15"/>
  <c r="I9" i="15"/>
  <c r="G32" i="25"/>
  <c r="K11" i="10"/>
  <c r="J11" i="10"/>
  <c r="I11" i="10"/>
  <c r="K15" i="9"/>
  <c r="I15" i="9"/>
  <c r="H27" i="25"/>
  <c r="J15" i="9"/>
  <c r="K12" i="12"/>
  <c r="J13" i="26" s="1"/>
  <c r="I12" i="12"/>
  <c r="H13" i="26" s="1"/>
  <c r="G13" i="26"/>
  <c r="J12" i="12"/>
  <c r="I13" i="26" s="1"/>
  <c r="K14" i="13"/>
  <c r="I14" i="13"/>
  <c r="J14" i="13"/>
  <c r="D21" i="25"/>
  <c r="E14" i="8"/>
  <c r="D41" i="26" s="1"/>
  <c r="D22" i="25"/>
  <c r="K18" i="9"/>
  <c r="I18" i="9"/>
  <c r="J18" i="9"/>
  <c r="F14" i="10"/>
  <c r="E43" i="26" s="1"/>
  <c r="E30" i="25"/>
  <c r="H50" i="25"/>
  <c r="K13" i="14"/>
  <c r="I13" i="14"/>
  <c r="J13" i="14"/>
  <c r="K10" i="16"/>
  <c r="J10" i="16"/>
  <c r="I10" i="16"/>
  <c r="I9" i="17"/>
  <c r="K9" i="17"/>
  <c r="J9" i="17"/>
  <c r="K11" i="18"/>
  <c r="J11" i="18"/>
  <c r="I11" i="18"/>
  <c r="G20" i="26"/>
  <c r="K14" i="18"/>
  <c r="J20" i="26" s="1"/>
  <c r="J14" i="18"/>
  <c r="I20" i="26" s="1"/>
  <c r="I14" i="18"/>
  <c r="H20" i="26" s="1"/>
  <c r="K10" i="19"/>
  <c r="J10" i="19"/>
  <c r="I10" i="19"/>
  <c r="K11" i="22"/>
  <c r="J11" i="22"/>
  <c r="I11" i="22"/>
  <c r="I10" i="6"/>
  <c r="G16" i="25"/>
  <c r="H16" i="25" s="1"/>
  <c r="J10" i="6"/>
  <c r="K10" i="6"/>
  <c r="E21" i="25"/>
  <c r="F14" i="8"/>
  <c r="E41" i="26" s="1"/>
  <c r="E22" i="25"/>
  <c r="F15" i="18"/>
  <c r="E53" i="26" s="1"/>
  <c r="K13" i="19"/>
  <c r="J21" i="26" s="1"/>
  <c r="J13" i="19"/>
  <c r="I21" i="26" s="1"/>
  <c r="I13" i="19"/>
  <c r="H21" i="26" s="1"/>
  <c r="G21" i="26"/>
  <c r="K10" i="20"/>
  <c r="J10" i="20"/>
  <c r="I10" i="20"/>
  <c r="K7" i="16"/>
  <c r="J7" i="16"/>
  <c r="I7" i="16"/>
  <c r="H13" i="12"/>
  <c r="F21" i="25"/>
  <c r="I9" i="7"/>
  <c r="K9" i="7"/>
  <c r="G18" i="25"/>
  <c r="H18" i="25" s="1"/>
  <c r="J9" i="7"/>
  <c r="K9" i="10"/>
  <c r="I9" i="10"/>
  <c r="G30" i="25"/>
  <c r="H30" i="25" s="1"/>
  <c r="J9" i="10"/>
  <c r="K12" i="10"/>
  <c r="J12" i="10"/>
  <c r="I12" i="10"/>
  <c r="G33" i="25"/>
  <c r="H33" i="25" s="1"/>
  <c r="K17" i="11"/>
  <c r="I17" i="11"/>
  <c r="G37" i="25"/>
  <c r="H37" i="25" s="1"/>
  <c r="J17" i="11"/>
  <c r="F20" i="11"/>
  <c r="E45" i="26" s="1"/>
  <c r="E44" i="26" s="1"/>
  <c r="E12" i="26"/>
  <c r="E11" i="26" s="1"/>
  <c r="K7" i="15"/>
  <c r="I7" i="15"/>
  <c r="I53" i="25"/>
  <c r="J7" i="15"/>
  <c r="K10" i="15"/>
  <c r="J17" i="26" s="1"/>
  <c r="J10" i="15"/>
  <c r="I17" i="26" s="1"/>
  <c r="I10" i="15"/>
  <c r="H17" i="26" s="1"/>
  <c r="G17" i="26"/>
  <c r="K8" i="16"/>
  <c r="J8" i="16"/>
  <c r="I8" i="16"/>
  <c r="I14" i="21"/>
  <c r="K14" i="21"/>
  <c r="J14" i="21"/>
  <c r="H13" i="6"/>
  <c r="K11" i="8"/>
  <c r="J11" i="8"/>
  <c r="I11" i="8"/>
  <c r="G24" i="25"/>
  <c r="H24" i="25" s="1"/>
  <c r="H14" i="8"/>
  <c r="K9" i="8"/>
  <c r="I9" i="8"/>
  <c r="G22" i="25"/>
  <c r="H22" i="25" s="1"/>
  <c r="J9" i="8"/>
  <c r="H28" i="25"/>
  <c r="I16" i="9"/>
  <c r="K16" i="9"/>
  <c r="J16" i="9"/>
  <c r="F19" i="9"/>
  <c r="E42" i="26" s="1"/>
  <c r="G42" i="25"/>
  <c r="H42" i="25" s="1"/>
  <c r="K11" i="12"/>
  <c r="I11" i="12"/>
  <c r="J11" i="12"/>
  <c r="K8" i="12"/>
  <c r="I8" i="12"/>
  <c r="G39" i="25"/>
  <c r="H39" i="25" s="1"/>
  <c r="J8" i="12"/>
  <c r="F11" i="15"/>
  <c r="E50" i="26" s="1"/>
  <c r="K15" i="13"/>
  <c r="J15" i="13"/>
  <c r="I15" i="13"/>
  <c r="E12" i="16"/>
  <c r="D51" i="26" s="1"/>
  <c r="D18" i="26"/>
  <c r="D14" i="26" s="1"/>
  <c r="E14" i="19"/>
  <c r="D54" i="26" s="1"/>
  <c r="F17" i="21"/>
  <c r="E57" i="26" s="1"/>
  <c r="E56" i="26" s="1"/>
  <c r="E24" i="26"/>
  <c r="E23" i="26" s="1"/>
  <c r="K12" i="20"/>
  <c r="J12" i="20"/>
  <c r="I12" i="20"/>
  <c r="H15" i="20"/>
  <c r="K14" i="22"/>
  <c r="J25" i="26" s="1"/>
  <c r="J14" i="22"/>
  <c r="I25" i="26" s="1"/>
  <c r="I14" i="22"/>
  <c r="H25" i="26" s="1"/>
  <c r="G25" i="26"/>
  <c r="K14" i="20"/>
  <c r="J22" i="26" s="1"/>
  <c r="J14" i="20"/>
  <c r="I22" i="26" s="1"/>
  <c r="I14" i="20"/>
  <c r="H22" i="26" s="1"/>
  <c r="G22" i="26"/>
  <c r="K15" i="4"/>
  <c r="I15" i="4"/>
  <c r="J15" i="4"/>
  <c r="H8" i="25"/>
  <c r="K12" i="7"/>
  <c r="J7" i="26" s="1"/>
  <c r="I12" i="7"/>
  <c r="H7" i="26" s="1"/>
  <c r="G21" i="25"/>
  <c r="J12" i="7"/>
  <c r="I7" i="26" s="1"/>
  <c r="I12" i="8"/>
  <c r="G25" i="25"/>
  <c r="H25" i="25" s="1"/>
  <c r="K12" i="8"/>
  <c r="J12" i="8"/>
  <c r="K13" i="5"/>
  <c r="J13" i="5"/>
  <c r="I13" i="5"/>
  <c r="H11" i="25"/>
  <c r="G19" i="9"/>
  <c r="F42" i="26" s="1"/>
  <c r="H20" i="11"/>
  <c r="G12" i="26"/>
  <c r="G11" i="26" s="1"/>
  <c r="I19" i="11"/>
  <c r="H12" i="26" s="1"/>
  <c r="K19" i="11"/>
  <c r="J12" i="26" s="1"/>
  <c r="J19" i="11"/>
  <c r="I12" i="26" s="1"/>
  <c r="G11" i="15"/>
  <c r="F50" i="26" s="1"/>
  <c r="K11" i="14"/>
  <c r="J11" i="14"/>
  <c r="I11" i="14"/>
  <c r="I14" i="14"/>
  <c r="K14" i="14"/>
  <c r="J14" i="14"/>
  <c r="E18" i="13"/>
  <c r="D48" i="26" s="1"/>
  <c r="F12" i="16"/>
  <c r="E51" i="26" s="1"/>
  <c r="E18" i="26"/>
  <c r="E14" i="26" s="1"/>
  <c r="K7" i="17"/>
  <c r="J7" i="17"/>
  <c r="I7" i="17"/>
  <c r="K10" i="17"/>
  <c r="J10" i="17"/>
  <c r="I10" i="17"/>
  <c r="K12" i="18"/>
  <c r="I12" i="18"/>
  <c r="J12" i="18"/>
  <c r="K11" i="19"/>
  <c r="J11" i="19"/>
  <c r="I11" i="19"/>
  <c r="K12" i="21"/>
  <c r="J12" i="21"/>
  <c r="I12" i="21"/>
  <c r="G15" i="22"/>
  <c r="F58" i="26" s="1"/>
  <c r="F25" i="26"/>
  <c r="F23" i="26" s="1"/>
  <c r="K8" i="7"/>
  <c r="I8" i="7"/>
  <c r="J8" i="7"/>
  <c r="E14" i="10"/>
  <c r="D43" i="26" s="1"/>
  <c r="D30" i="25"/>
  <c r="H12" i="25"/>
  <c r="I14" i="5"/>
  <c r="K14" i="5"/>
  <c r="J14" i="5"/>
  <c r="H9" i="25"/>
  <c r="K16" i="4"/>
  <c r="J16" i="4"/>
  <c r="I16" i="4"/>
  <c r="K17" i="5"/>
  <c r="J17" i="5"/>
  <c r="I17" i="5"/>
  <c r="H3" i="25"/>
  <c r="E13" i="3"/>
  <c r="D36" i="26" s="1"/>
  <c r="E18" i="5"/>
  <c r="D38" i="26" s="1"/>
  <c r="I8" i="6"/>
  <c r="K8" i="6"/>
  <c r="J8" i="6"/>
  <c r="G14" i="25"/>
  <c r="H14" i="25" s="1"/>
  <c r="K11" i="6"/>
  <c r="I11" i="6"/>
  <c r="G17" i="25"/>
  <c r="H17" i="25" s="1"/>
  <c r="J11" i="6"/>
  <c r="H19" i="9"/>
  <c r="G14" i="10"/>
  <c r="F43" i="26" s="1"/>
  <c r="E20" i="11"/>
  <c r="D45" i="26" s="1"/>
  <c r="D44" i="26" s="1"/>
  <c r="D19" i="4"/>
  <c r="G12" i="16"/>
  <c r="F51" i="26" s="1"/>
  <c r="F18" i="26"/>
  <c r="F14" i="26" s="1"/>
  <c r="E15" i="18"/>
  <c r="D53" i="26" s="1"/>
  <c r="K16" i="21"/>
  <c r="J24" i="26" s="1"/>
  <c r="J16" i="21"/>
  <c r="I24" i="26" s="1"/>
  <c r="I16" i="21"/>
  <c r="H24" i="26" s="1"/>
  <c r="G24" i="26"/>
  <c r="I11" i="20"/>
  <c r="K11" i="20"/>
  <c r="J11" i="20"/>
  <c r="K12" i="22"/>
  <c r="J12" i="22"/>
  <c r="I12" i="22"/>
  <c r="F13" i="3"/>
  <c r="E36" i="26" s="1"/>
  <c r="K15" i="5"/>
  <c r="I15" i="5"/>
  <c r="H13" i="25"/>
  <c r="J15" i="5"/>
  <c r="G19" i="25"/>
  <c r="H19" i="25" s="1"/>
  <c r="K10" i="7"/>
  <c r="J10" i="7"/>
  <c r="I10" i="7"/>
  <c r="K10" i="10"/>
  <c r="I10" i="10"/>
  <c r="G31" i="25"/>
  <c r="J10" i="10"/>
  <c r="K13" i="10"/>
  <c r="J10" i="26" s="1"/>
  <c r="I13" i="10"/>
  <c r="H10" i="26" s="1"/>
  <c r="J13" i="10"/>
  <c r="I10" i="26" s="1"/>
  <c r="G35" i="25"/>
  <c r="K15" i="11"/>
  <c r="I15" i="11"/>
  <c r="J15" i="11"/>
  <c r="K18" i="11"/>
  <c r="I18" i="11"/>
  <c r="G38" i="25"/>
  <c r="H38" i="25" s="1"/>
  <c r="J18" i="11"/>
  <c r="G20" i="11"/>
  <c r="F45" i="26" s="1"/>
  <c r="F44" i="26" s="1"/>
  <c r="E19" i="4"/>
  <c r="D37" i="26" s="1"/>
  <c r="I8" i="15"/>
  <c r="K8" i="15"/>
  <c r="J8" i="15"/>
  <c r="G18" i="13"/>
  <c r="F48" i="26" s="1"/>
  <c r="H12" i="16"/>
  <c r="K11" i="16"/>
  <c r="J18" i="26" s="1"/>
  <c r="I11" i="16"/>
  <c r="H18" i="26" s="1"/>
  <c r="J11" i="16"/>
  <c r="I18" i="26" s="1"/>
  <c r="G18" i="26"/>
  <c r="I11" i="7"/>
  <c r="K11" i="7"/>
  <c r="J11" i="7"/>
  <c r="G20" i="25"/>
  <c r="H20" i="25" s="1"/>
  <c r="K9" i="12"/>
  <c r="J9" i="12"/>
  <c r="G40" i="25"/>
  <c r="H40" i="25" s="1"/>
  <c r="I9" i="12"/>
  <c r="K17" i="13"/>
  <c r="J15" i="26" s="1"/>
  <c r="G15" i="26"/>
  <c r="I17" i="13"/>
  <c r="H15" i="26" s="1"/>
  <c r="J17" i="13"/>
  <c r="I15" i="26" s="1"/>
  <c r="H4" i="25"/>
  <c r="F18" i="5"/>
  <c r="E38" i="26" s="1"/>
  <c r="H5" i="25"/>
  <c r="G13" i="3"/>
  <c r="F36" i="26" s="1"/>
  <c r="I14" i="4"/>
  <c r="H7" i="25"/>
  <c r="K14" i="4"/>
  <c r="J14" i="4"/>
  <c r="K17" i="4"/>
  <c r="J17" i="4"/>
  <c r="I17" i="4"/>
  <c r="H10" i="25"/>
  <c r="G18" i="5"/>
  <c r="F38" i="26" s="1"/>
  <c r="E13" i="6"/>
  <c r="D39" i="26" s="1"/>
  <c r="K10" i="8"/>
  <c r="J10" i="8"/>
  <c r="I10" i="8"/>
  <c r="G23" i="25"/>
  <c r="H23" i="25" s="1"/>
  <c r="K13" i="8"/>
  <c r="J8" i="26" s="1"/>
  <c r="I13" i="8"/>
  <c r="H8" i="26" s="1"/>
  <c r="J13" i="8"/>
  <c r="I8" i="26" s="1"/>
  <c r="K14" i="9"/>
  <c r="I14" i="9"/>
  <c r="J14" i="9"/>
  <c r="H26" i="25"/>
  <c r="K17" i="9"/>
  <c r="J17" i="9"/>
  <c r="I17" i="9"/>
  <c r="H29" i="25"/>
  <c r="H14" i="10"/>
  <c r="K10" i="12"/>
  <c r="G41" i="25"/>
  <c r="H41" i="25" s="1"/>
  <c r="J10" i="12"/>
  <c r="I10" i="12"/>
  <c r="F19" i="4"/>
  <c r="E37" i="26" s="1"/>
  <c r="E11" i="15"/>
  <c r="D50" i="26" s="1"/>
  <c r="I55" i="25"/>
  <c r="K13" i="13"/>
  <c r="I13" i="13"/>
  <c r="J13" i="13"/>
  <c r="K16" i="13"/>
  <c r="I16" i="13"/>
  <c r="J16" i="13"/>
  <c r="K9" i="16"/>
  <c r="J9" i="16"/>
  <c r="I9" i="16"/>
  <c r="G15" i="18"/>
  <c r="F53" i="26" s="1"/>
  <c r="K15" i="21"/>
  <c r="J15" i="21"/>
  <c r="I15" i="21"/>
  <c r="I16" i="5"/>
  <c r="K16" i="5"/>
  <c r="J16" i="5"/>
  <c r="G36" i="25"/>
  <c r="H36" i="25" s="1"/>
  <c r="K16" i="11"/>
  <c r="J16" i="11"/>
  <c r="I16" i="11"/>
  <c r="K13" i="22"/>
  <c r="J13" i="22"/>
  <c r="I13" i="22"/>
  <c r="G19" i="4"/>
  <c r="F37" i="26" s="1"/>
  <c r="G16" i="26"/>
  <c r="K15" i="14"/>
  <c r="J16" i="26" s="1"/>
  <c r="J15" i="14"/>
  <c r="I16" i="26" s="1"/>
  <c r="I15" i="14"/>
  <c r="H16" i="26" s="1"/>
  <c r="K8" i="17"/>
  <c r="J8" i="17"/>
  <c r="I8" i="17"/>
  <c r="G19" i="26"/>
  <c r="K11" i="17"/>
  <c r="J19" i="26" s="1"/>
  <c r="J11" i="17"/>
  <c r="I19" i="26" s="1"/>
  <c r="I11" i="17"/>
  <c r="H19" i="26" s="1"/>
  <c r="H15" i="18"/>
  <c r="K10" i="18"/>
  <c r="J10" i="18"/>
  <c r="I10" i="18"/>
  <c r="K13" i="18"/>
  <c r="J13" i="18"/>
  <c r="I13" i="18"/>
  <c r="K9" i="19"/>
  <c r="J9" i="19"/>
  <c r="I9" i="19"/>
  <c r="K12" i="19"/>
  <c r="J12" i="19"/>
  <c r="I12" i="19"/>
  <c r="K13" i="20"/>
  <c r="J13" i="20"/>
  <c r="I13" i="20"/>
  <c r="K10" i="22"/>
  <c r="J10" i="22"/>
  <c r="I10" i="22"/>
  <c r="H11" i="15"/>
  <c r="K6" i="15"/>
  <c r="J6" i="15"/>
  <c r="I6" i="15"/>
  <c r="J52" i="25"/>
  <c r="G38" i="26"/>
  <c r="F13" i="6"/>
  <c r="E39" i="26" s="1"/>
  <c r="H49" i="25"/>
  <c r="K12" i="14"/>
  <c r="I12" i="14"/>
  <c r="J12" i="14"/>
  <c r="F2" i="25"/>
  <c r="D13" i="6"/>
  <c r="K9" i="6"/>
  <c r="J9" i="6"/>
  <c r="I9" i="6"/>
  <c r="G15" i="25"/>
  <c r="H15" i="25" s="1"/>
  <c r="F13" i="12"/>
  <c r="E46" i="26" s="1"/>
  <c r="H19" i="4"/>
  <c r="I18" i="4"/>
  <c r="K18" i="4"/>
  <c r="J18" i="4"/>
  <c r="K13" i="21"/>
  <c r="J13" i="21"/>
  <c r="I13" i="21"/>
  <c r="F16" i="14"/>
  <c r="E49" i="26" s="1"/>
  <c r="G16" i="14"/>
  <c r="F49" i="26" s="1"/>
  <c r="H16" i="14"/>
  <c r="H51" i="25"/>
  <c r="E16" i="14"/>
  <c r="D49" i="26" s="1"/>
  <c r="E3" i="21"/>
  <c r="D29" i="2"/>
  <c r="F3" i="21"/>
  <c r="E29" i="2"/>
  <c r="G3" i="21"/>
  <c r="F29" i="2"/>
  <c r="H3" i="11"/>
  <c r="G15" i="2"/>
  <c r="E3" i="11"/>
  <c r="D13" i="2"/>
  <c r="D12" i="2" s="1"/>
  <c r="D3" i="21"/>
  <c r="C28" i="2"/>
  <c r="C27" i="2" s="1"/>
  <c r="F3" i="11"/>
  <c r="E13" i="2"/>
  <c r="E12" i="2" s="1"/>
  <c r="F12" i="2"/>
  <c r="F3" i="22"/>
  <c r="E31" i="2"/>
  <c r="G3" i="22"/>
  <c r="F30" i="2"/>
  <c r="H15" i="22"/>
  <c r="E15" i="22"/>
  <c r="D58" i="26" s="1"/>
  <c r="E3" i="22"/>
  <c r="D30" i="2"/>
  <c r="G3" i="11"/>
  <c r="E12" i="17"/>
  <c r="D52" i="26" s="1"/>
  <c r="F12" i="17"/>
  <c r="E52" i="26" s="1"/>
  <c r="G12" i="17"/>
  <c r="F52" i="26" s="1"/>
  <c r="H12" i="17"/>
  <c r="D3" i="11"/>
  <c r="D56" i="26" l="1"/>
  <c r="H21" i="25"/>
  <c r="I13" i="7"/>
  <c r="H40" i="26" s="1"/>
  <c r="D2" i="25"/>
  <c r="H11" i="26"/>
  <c r="J13" i="7"/>
  <c r="I40" i="26" s="1"/>
  <c r="K13" i="7"/>
  <c r="J40" i="26" s="1"/>
  <c r="F56" i="26"/>
  <c r="I17" i="21"/>
  <c r="H57" i="26" s="1"/>
  <c r="I14" i="19"/>
  <c r="H54" i="26" s="1"/>
  <c r="G57" i="26"/>
  <c r="D27" i="2"/>
  <c r="E2" i="25"/>
  <c r="E85" i="25" s="1"/>
  <c r="G76" i="25"/>
  <c r="H76" i="25" s="1"/>
  <c r="H77" i="25"/>
  <c r="F43" i="25"/>
  <c r="F85" i="25" s="1"/>
  <c r="I18" i="5"/>
  <c r="H38" i="26" s="1"/>
  <c r="I18" i="13"/>
  <c r="H48" i="26" s="1"/>
  <c r="G23" i="26"/>
  <c r="J17" i="21"/>
  <c r="I57" i="26" s="1"/>
  <c r="K17" i="21"/>
  <c r="J57" i="26" s="1"/>
  <c r="G14" i="26"/>
  <c r="F35" i="26"/>
  <c r="J18" i="5"/>
  <c r="I38" i="26" s="1"/>
  <c r="K18" i="5"/>
  <c r="J38" i="26" s="1"/>
  <c r="G12" i="2"/>
  <c r="H15" i="2"/>
  <c r="J15" i="2"/>
  <c r="I15" i="2"/>
  <c r="J22" i="2"/>
  <c r="I22" i="2"/>
  <c r="H22" i="2"/>
  <c r="K3" i="11"/>
  <c r="J3" i="11"/>
  <c r="I3" i="11"/>
  <c r="I16" i="2"/>
  <c r="J16" i="2"/>
  <c r="H16" i="2"/>
  <c r="E27" i="2"/>
  <c r="H19" i="2"/>
  <c r="J19" i="2"/>
  <c r="I19" i="2"/>
  <c r="J25" i="2"/>
  <c r="I25" i="2"/>
  <c r="H25" i="2"/>
  <c r="J13" i="2"/>
  <c r="I13" i="2"/>
  <c r="H13" i="2"/>
  <c r="J21" i="2"/>
  <c r="I21" i="2"/>
  <c r="H21" i="2"/>
  <c r="J18" i="2"/>
  <c r="I18" i="2"/>
  <c r="H18" i="2"/>
  <c r="J14" i="2"/>
  <c r="I14" i="2"/>
  <c r="H14" i="2"/>
  <c r="K14" i="8"/>
  <c r="J41" i="26" s="1"/>
  <c r="I14" i="8"/>
  <c r="H41" i="26" s="1"/>
  <c r="J14" i="8"/>
  <c r="I41" i="26" s="1"/>
  <c r="G41" i="26"/>
  <c r="K11" i="15"/>
  <c r="J50" i="26" s="1"/>
  <c r="G50" i="26"/>
  <c r="J11" i="15"/>
  <c r="I50" i="26" s="1"/>
  <c r="I11" i="15"/>
  <c r="H50" i="26" s="1"/>
  <c r="J18" i="13"/>
  <c r="I48" i="26" s="1"/>
  <c r="G49" i="26"/>
  <c r="K16" i="14"/>
  <c r="J49" i="26" s="1"/>
  <c r="J16" i="14"/>
  <c r="I49" i="26" s="1"/>
  <c r="I16" i="14"/>
  <c r="H49" i="26" s="1"/>
  <c r="G53" i="26"/>
  <c r="K15" i="18"/>
  <c r="J53" i="26" s="1"/>
  <c r="J15" i="18"/>
  <c r="I53" i="26" s="1"/>
  <c r="I15" i="18"/>
  <c r="H53" i="26" s="1"/>
  <c r="H45" i="25"/>
  <c r="H32" i="25"/>
  <c r="J32" i="25"/>
  <c r="I32" i="25"/>
  <c r="K18" i="13"/>
  <c r="J48" i="26" s="1"/>
  <c r="G46" i="26"/>
  <c r="I13" i="12"/>
  <c r="H46" i="26" s="1"/>
  <c r="K13" i="12"/>
  <c r="J46" i="26" s="1"/>
  <c r="J13" i="12"/>
  <c r="I46" i="26" s="1"/>
  <c r="H55" i="25"/>
  <c r="J55" i="25"/>
  <c r="H44" i="25"/>
  <c r="H54" i="25"/>
  <c r="J54" i="25"/>
  <c r="I54" i="25"/>
  <c r="G55" i="26"/>
  <c r="K15" i="20"/>
  <c r="J55" i="26" s="1"/>
  <c r="J15" i="20"/>
  <c r="I55" i="26" s="1"/>
  <c r="I15" i="20"/>
  <c r="H55" i="26" s="1"/>
  <c r="K13" i="6"/>
  <c r="J39" i="26" s="1"/>
  <c r="J13" i="6"/>
  <c r="I39" i="26" s="1"/>
  <c r="I13" i="6"/>
  <c r="H39" i="26" s="1"/>
  <c r="G39" i="26"/>
  <c r="J53" i="25"/>
  <c r="H53" i="25"/>
  <c r="J14" i="19"/>
  <c r="I54" i="26" s="1"/>
  <c r="K14" i="19"/>
  <c r="J54" i="26" s="1"/>
  <c r="K14" i="10"/>
  <c r="J43" i="26" s="1"/>
  <c r="I14" i="10"/>
  <c r="H43" i="26" s="1"/>
  <c r="G43" i="26"/>
  <c r="J14" i="10"/>
  <c r="I43" i="26" s="1"/>
  <c r="G45" i="26"/>
  <c r="G44" i="26" s="1"/>
  <c r="K20" i="11"/>
  <c r="J45" i="26" s="1"/>
  <c r="J20" i="11"/>
  <c r="I45" i="26" s="1"/>
  <c r="I20" i="11"/>
  <c r="H45" i="26" s="1"/>
  <c r="I33" i="25"/>
  <c r="J33" i="25"/>
  <c r="F47" i="26"/>
  <c r="E47" i="26"/>
  <c r="G58" i="26"/>
  <c r="K15" i="22"/>
  <c r="J58" i="26" s="1"/>
  <c r="J15" i="22"/>
  <c r="I58" i="26" s="1"/>
  <c r="I15" i="22"/>
  <c r="H58" i="26" s="1"/>
  <c r="G34" i="25"/>
  <c r="H34" i="25" s="1"/>
  <c r="H35" i="25"/>
  <c r="D43" i="25"/>
  <c r="E35" i="26"/>
  <c r="K12" i="16"/>
  <c r="J51" i="26" s="1"/>
  <c r="J12" i="16"/>
  <c r="I51" i="26" s="1"/>
  <c r="I12" i="16"/>
  <c r="H51" i="26" s="1"/>
  <c r="G51" i="26"/>
  <c r="H31" i="25"/>
  <c r="J31" i="25"/>
  <c r="I31" i="25"/>
  <c r="K19" i="4"/>
  <c r="J37" i="26" s="1"/>
  <c r="I19" i="4"/>
  <c r="H37" i="26" s="1"/>
  <c r="G37" i="26"/>
  <c r="J19" i="4"/>
  <c r="I37" i="26" s="1"/>
  <c r="H46" i="25"/>
  <c r="K12" i="17"/>
  <c r="J52" i="26" s="1"/>
  <c r="J12" i="17"/>
  <c r="I52" i="26" s="1"/>
  <c r="I12" i="17"/>
  <c r="H52" i="26" s="1"/>
  <c r="G52" i="26"/>
  <c r="I52" i="25"/>
  <c r="H52" i="25"/>
  <c r="D47" i="26"/>
  <c r="H47" i="25"/>
  <c r="K19" i="9"/>
  <c r="J42" i="26" s="1"/>
  <c r="I19" i="9"/>
  <c r="H42" i="26" s="1"/>
  <c r="G42" i="26"/>
  <c r="J19" i="9"/>
  <c r="I42" i="26" s="1"/>
  <c r="G2" i="25"/>
  <c r="D35" i="26"/>
  <c r="H48" i="25"/>
  <c r="G43" i="25"/>
  <c r="F27" i="2"/>
  <c r="C30" i="25"/>
  <c r="C58" i="26"/>
  <c r="C57" i="26"/>
  <c r="C55" i="26"/>
  <c r="C54" i="26"/>
  <c r="C53" i="26"/>
  <c r="C52" i="26"/>
  <c r="C51" i="26"/>
  <c r="C49" i="26"/>
  <c r="C48" i="26"/>
  <c r="C46" i="26"/>
  <c r="C45" i="26"/>
  <c r="C19" i="26"/>
  <c r="C84" i="25"/>
  <c r="C83" i="25"/>
  <c r="C82" i="25"/>
  <c r="C81" i="25"/>
  <c r="C80" i="25"/>
  <c r="C79" i="25"/>
  <c r="C78" i="25"/>
  <c r="C77" i="25"/>
  <c r="J77" i="25" s="1"/>
  <c r="C75" i="25"/>
  <c r="C74" i="25"/>
  <c r="C73" i="25"/>
  <c r="C72" i="25"/>
  <c r="C71" i="25"/>
  <c r="C70" i="25"/>
  <c r="C69" i="25"/>
  <c r="C68" i="25"/>
  <c r="C67" i="25"/>
  <c r="C66" i="25"/>
  <c r="C65" i="25"/>
  <c r="C64" i="25"/>
  <c r="C63" i="25"/>
  <c r="C62" i="25"/>
  <c r="C61" i="25"/>
  <c r="C60" i="25"/>
  <c r="C59" i="25"/>
  <c r="C58" i="25"/>
  <c r="C57" i="25"/>
  <c r="C56" i="25"/>
  <c r="C51" i="25"/>
  <c r="C50" i="25"/>
  <c r="C49" i="25"/>
  <c r="C48" i="25"/>
  <c r="J48" i="25" s="1"/>
  <c r="C47" i="25"/>
  <c r="J47" i="25" s="1"/>
  <c r="C46" i="25"/>
  <c r="J46" i="25" s="1"/>
  <c r="C45" i="25"/>
  <c r="I45" i="25" s="1"/>
  <c r="C44" i="25"/>
  <c r="I44" i="25" s="1"/>
  <c r="C42" i="25"/>
  <c r="C41" i="25"/>
  <c r="C40" i="25"/>
  <c r="C39" i="25"/>
  <c r="C38" i="25"/>
  <c r="C37" i="25"/>
  <c r="C36" i="25"/>
  <c r="C35" i="25"/>
  <c r="C25" i="25"/>
  <c r="C24" i="25"/>
  <c r="C23" i="25"/>
  <c r="C22" i="25"/>
  <c r="C21" i="25"/>
  <c r="C20" i="25"/>
  <c r="C19" i="25"/>
  <c r="C18" i="25"/>
  <c r="C17" i="25"/>
  <c r="C16" i="25"/>
  <c r="C15" i="25"/>
  <c r="C14" i="25"/>
  <c r="C6" i="25"/>
  <c r="C5" i="25"/>
  <c r="C4" i="25"/>
  <c r="C17" i="24"/>
  <c r="J17" i="24" s="1"/>
  <c r="C65" i="23"/>
  <c r="C54" i="23"/>
  <c r="C25" i="26"/>
  <c r="C24" i="26"/>
  <c r="C22" i="26"/>
  <c r="C21" i="26"/>
  <c r="C20" i="26"/>
  <c r="C18" i="26"/>
  <c r="C16" i="26"/>
  <c r="C15" i="26"/>
  <c r="C13" i="26"/>
  <c r="C12" i="26"/>
  <c r="C10" i="26"/>
  <c r="C8" i="26"/>
  <c r="C7" i="26"/>
  <c r="C6" i="26"/>
  <c r="C3" i="26"/>
  <c r="C39" i="26"/>
  <c r="C36" i="26"/>
  <c r="D85" i="25" l="1"/>
  <c r="H44" i="26"/>
  <c r="H2" i="25"/>
  <c r="H14" i="26"/>
  <c r="H23" i="26"/>
  <c r="G56" i="26"/>
  <c r="I77" i="25"/>
  <c r="J66" i="25"/>
  <c r="I66" i="25"/>
  <c r="I79" i="25"/>
  <c r="J79" i="25"/>
  <c r="J67" i="25"/>
  <c r="I67" i="25"/>
  <c r="J80" i="25"/>
  <c r="I80" i="25"/>
  <c r="I56" i="25"/>
  <c r="J56" i="25"/>
  <c r="J68" i="25"/>
  <c r="I68" i="25"/>
  <c r="J81" i="25"/>
  <c r="I81" i="25"/>
  <c r="I78" i="25"/>
  <c r="J78" i="25"/>
  <c r="J58" i="25"/>
  <c r="I58" i="25"/>
  <c r="J70" i="25"/>
  <c r="I70" i="25"/>
  <c r="J83" i="25"/>
  <c r="I83" i="25"/>
  <c r="J69" i="25"/>
  <c r="I69" i="25"/>
  <c r="I59" i="25"/>
  <c r="J59" i="25"/>
  <c r="I71" i="25"/>
  <c r="J71" i="25"/>
  <c r="I84" i="25"/>
  <c r="J84" i="25"/>
  <c r="J65" i="25"/>
  <c r="I65" i="25"/>
  <c r="J61" i="25"/>
  <c r="I61" i="25"/>
  <c r="I73" i="25"/>
  <c r="J73" i="25"/>
  <c r="J62" i="25"/>
  <c r="I62" i="25"/>
  <c r="J74" i="25"/>
  <c r="I74" i="25"/>
  <c r="J57" i="25"/>
  <c r="I57" i="25"/>
  <c r="J82" i="25"/>
  <c r="I82" i="25"/>
  <c r="J60" i="25"/>
  <c r="I60" i="25"/>
  <c r="I63" i="25"/>
  <c r="J63" i="25"/>
  <c r="I75" i="25"/>
  <c r="J75" i="25"/>
  <c r="I72" i="25"/>
  <c r="J72" i="25"/>
  <c r="J64" i="25"/>
  <c r="I64" i="25"/>
  <c r="H43" i="25"/>
  <c r="G85" i="25"/>
  <c r="I46" i="25"/>
  <c r="J45" i="25"/>
  <c r="I12" i="2"/>
  <c r="J12" i="2"/>
  <c r="H12" i="2"/>
  <c r="I47" i="25"/>
  <c r="G35" i="26"/>
  <c r="J44" i="25"/>
  <c r="G47" i="26"/>
  <c r="C43" i="25"/>
  <c r="I48" i="25"/>
  <c r="I51" i="25"/>
  <c r="J51" i="25"/>
  <c r="I49" i="25"/>
  <c r="J49" i="25"/>
  <c r="I50" i="25"/>
  <c r="J50" i="25"/>
  <c r="C34" i="25"/>
  <c r="J35" i="25"/>
  <c r="I35" i="25"/>
  <c r="J8" i="25"/>
  <c r="I8" i="25"/>
  <c r="J20" i="25"/>
  <c r="I20" i="25"/>
  <c r="I17" i="25"/>
  <c r="J17" i="25"/>
  <c r="J19" i="25"/>
  <c r="I19" i="25"/>
  <c r="I10" i="25"/>
  <c r="J10" i="25"/>
  <c r="I21" i="25"/>
  <c r="J21" i="25"/>
  <c r="I38" i="25"/>
  <c r="J38" i="25"/>
  <c r="J37" i="25"/>
  <c r="I37" i="25"/>
  <c r="I39" i="25"/>
  <c r="J39" i="25"/>
  <c r="I7" i="25"/>
  <c r="J7" i="25"/>
  <c r="I40" i="25"/>
  <c r="J40" i="25"/>
  <c r="I18" i="25"/>
  <c r="J18" i="25"/>
  <c r="J11" i="25"/>
  <c r="I11" i="25"/>
  <c r="I22" i="25"/>
  <c r="J22" i="25"/>
  <c r="I12" i="25"/>
  <c r="J12" i="25"/>
  <c r="I23" i="25"/>
  <c r="J23" i="25"/>
  <c r="I13" i="25"/>
  <c r="J13" i="25"/>
  <c r="J24" i="25"/>
  <c r="I24" i="25"/>
  <c r="J41" i="25"/>
  <c r="I41" i="25"/>
  <c r="J6" i="25"/>
  <c r="I6" i="25"/>
  <c r="I42" i="25"/>
  <c r="J42" i="25"/>
  <c r="J9" i="25"/>
  <c r="I9" i="25"/>
  <c r="J25" i="25"/>
  <c r="I25" i="25"/>
  <c r="I14" i="25"/>
  <c r="J14" i="25"/>
  <c r="J26" i="25"/>
  <c r="I26" i="25"/>
  <c r="I29" i="25"/>
  <c r="J29" i="25"/>
  <c r="J36" i="25"/>
  <c r="I36" i="25"/>
  <c r="J4" i="25"/>
  <c r="I4" i="25"/>
  <c r="J15" i="25"/>
  <c r="I15" i="25"/>
  <c r="I27" i="25"/>
  <c r="J27" i="25"/>
  <c r="J30" i="25"/>
  <c r="I30" i="25"/>
  <c r="J5" i="25"/>
  <c r="I5" i="25"/>
  <c r="I16" i="25"/>
  <c r="J16" i="25"/>
  <c r="I28" i="25"/>
  <c r="J28" i="25"/>
  <c r="G34" i="26"/>
  <c r="F34" i="26"/>
  <c r="E34" i="26"/>
  <c r="D34" i="26"/>
  <c r="C34" i="26"/>
  <c r="H35" i="26" l="1"/>
  <c r="H47" i="26"/>
  <c r="H85" i="25"/>
  <c r="I34" i="25"/>
  <c r="J34" i="25"/>
  <c r="C19" i="23"/>
  <c r="A84" i="25"/>
  <c r="A83" i="25"/>
  <c r="A82" i="25"/>
  <c r="A80" i="25"/>
  <c r="A79" i="25"/>
  <c r="A78" i="25"/>
  <c r="A75" i="25"/>
  <c r="A74" i="25"/>
  <c r="A73" i="25"/>
  <c r="A71" i="25"/>
  <c r="A70" i="25"/>
  <c r="A69" i="25"/>
  <c r="A67" i="25"/>
  <c r="A66" i="25"/>
  <c r="A65" i="25"/>
  <c r="A63" i="25"/>
  <c r="A62" i="25"/>
  <c r="A61" i="25"/>
  <c r="A59" i="25"/>
  <c r="A58" i="25"/>
  <c r="A57" i="25"/>
  <c r="A51" i="25"/>
  <c r="A50" i="25"/>
  <c r="A49" i="25"/>
  <c r="A47" i="25"/>
  <c r="A46" i="25"/>
  <c r="A45" i="25"/>
  <c r="A42" i="25"/>
  <c r="A41" i="25"/>
  <c r="A40" i="25"/>
  <c r="A38" i="25"/>
  <c r="A37" i="25"/>
  <c r="A36" i="25"/>
  <c r="A33" i="25"/>
  <c r="A32" i="25"/>
  <c r="A31" i="25"/>
  <c r="A25" i="25"/>
  <c r="A24" i="25"/>
  <c r="A23" i="25"/>
  <c r="A21" i="25"/>
  <c r="A20" i="25"/>
  <c r="A19" i="25"/>
  <c r="A17" i="25"/>
  <c r="A16" i="25"/>
  <c r="A15" i="25"/>
  <c r="A6" i="25"/>
  <c r="A5" i="25"/>
  <c r="A4" i="25"/>
  <c r="G1" i="25"/>
  <c r="F1" i="25"/>
  <c r="E1" i="25"/>
  <c r="D1" i="25"/>
  <c r="C1" i="25"/>
  <c r="J19" i="23" l="1"/>
  <c r="I19" i="23"/>
  <c r="C26" i="23"/>
  <c r="C32" i="23"/>
  <c r="C30" i="23"/>
  <c r="D29" i="23"/>
  <c r="D28" i="23"/>
  <c r="C29" i="24"/>
  <c r="C26" i="24"/>
  <c r="J26" i="24" s="1"/>
  <c r="C25" i="24"/>
  <c r="J25" i="24" s="1"/>
  <c r="C24" i="24"/>
  <c r="J24" i="24" s="1"/>
  <c r="C23" i="24"/>
  <c r="J23" i="24" s="1"/>
  <c r="C22" i="24"/>
  <c r="J22" i="24" s="1"/>
  <c r="C21" i="24"/>
  <c r="J21" i="24" s="1"/>
  <c r="C20" i="24"/>
  <c r="J20" i="24" s="1"/>
  <c r="C19" i="24"/>
  <c r="J19" i="24" s="1"/>
  <c r="C18" i="24"/>
  <c r="J18" i="24" s="1"/>
  <c r="C16" i="24"/>
  <c r="J16" i="24" s="1"/>
  <c r="C28" i="24"/>
  <c r="G1" i="24"/>
  <c r="F1" i="24"/>
  <c r="E1" i="24"/>
  <c r="D1" i="24"/>
  <c r="C1" i="24"/>
  <c r="C14" i="24"/>
  <c r="J14" i="24" s="1"/>
  <c r="C13" i="24"/>
  <c r="J13" i="24" s="1"/>
  <c r="C12" i="24"/>
  <c r="J12" i="24" s="1"/>
  <c r="C3" i="25"/>
  <c r="G1" i="26"/>
  <c r="F1" i="26"/>
  <c r="E1" i="26"/>
  <c r="D1" i="26"/>
  <c r="C1" i="26"/>
  <c r="B38" i="27"/>
  <c r="J26" i="23" l="1"/>
  <c r="I26" i="23"/>
  <c r="I3" i="25"/>
  <c r="J3" i="25"/>
  <c r="D37" i="27"/>
  <c r="E52" i="27"/>
  <c r="H5" i="10"/>
  <c r="E5" i="10"/>
  <c r="F50" i="23"/>
  <c r="E50" i="23"/>
  <c r="D50" i="23"/>
  <c r="C50" i="23"/>
  <c r="G10" i="23"/>
  <c r="D10" i="23"/>
  <c r="J59" i="26"/>
  <c r="C56" i="26"/>
  <c r="C44" i="26"/>
  <c r="B58" i="27"/>
  <c r="B57" i="27"/>
  <c r="G55" i="27"/>
  <c r="B56" i="27"/>
  <c r="B54" i="27"/>
  <c r="G52" i="27"/>
  <c r="B53" i="27"/>
  <c r="B51" i="27"/>
  <c r="B50" i="27"/>
  <c r="B49" i="27"/>
  <c r="B48" i="27"/>
  <c r="B47" i="27"/>
  <c r="B46" i="27"/>
  <c r="B45" i="27"/>
  <c r="B44" i="27"/>
  <c r="B43" i="27"/>
  <c r="G41" i="27"/>
  <c r="B42" i="27"/>
  <c r="B40" i="27"/>
  <c r="B39" i="27"/>
  <c r="B36" i="27"/>
  <c r="B35" i="27"/>
  <c r="B34" i="27"/>
  <c r="B32" i="27"/>
  <c r="B30" i="27"/>
  <c r="B28" i="27"/>
  <c r="B27" i="27"/>
  <c r="B26" i="27"/>
  <c r="B25" i="27"/>
  <c r="B24" i="27"/>
  <c r="B23" i="27"/>
  <c r="B22" i="27"/>
  <c r="B21" i="27"/>
  <c r="B20" i="27"/>
  <c r="B19" i="27"/>
  <c r="D18" i="27"/>
  <c r="J30" i="24"/>
  <c r="H30" i="24"/>
  <c r="I29" i="24"/>
  <c r="H29" i="24"/>
  <c r="H28" i="24"/>
  <c r="I27" i="24"/>
  <c r="I15" i="24"/>
  <c r="I14" i="24"/>
  <c r="H14" i="24"/>
  <c r="H13" i="24"/>
  <c r="I11" i="24"/>
  <c r="I27" i="23"/>
  <c r="I18" i="23"/>
  <c r="I11" i="23"/>
  <c r="F41" i="23"/>
  <c r="E41" i="23"/>
  <c r="D41" i="23"/>
  <c r="C60" i="23"/>
  <c r="G10" i="24"/>
  <c r="F10" i="24"/>
  <c r="E10" i="24"/>
  <c r="D10" i="24"/>
  <c r="C10" i="24"/>
  <c r="G7" i="24"/>
  <c r="F7" i="24"/>
  <c r="E7" i="24"/>
  <c r="C7" i="24"/>
  <c r="F7" i="23"/>
  <c r="E7" i="23"/>
  <c r="D7" i="23"/>
  <c r="C7" i="23"/>
  <c r="G47" i="23"/>
  <c r="F47" i="23"/>
  <c r="E47" i="23"/>
  <c r="D47" i="23"/>
  <c r="C47" i="23"/>
  <c r="G2" i="13"/>
  <c r="H2" i="13"/>
  <c r="F2" i="13"/>
  <c r="E2" i="13"/>
  <c r="D2" i="13"/>
  <c r="F8" i="24"/>
  <c r="E8" i="24"/>
  <c r="D8" i="24"/>
  <c r="C8" i="24"/>
  <c r="G8" i="24"/>
  <c r="F8" i="23"/>
  <c r="E8" i="23"/>
  <c r="D8" i="23"/>
  <c r="C8" i="23"/>
  <c r="F48" i="23"/>
  <c r="E48" i="23"/>
  <c r="D48" i="23"/>
  <c r="C48" i="23"/>
  <c r="G48" i="23"/>
  <c r="F8" i="2"/>
  <c r="E8" i="2"/>
  <c r="D8" i="2"/>
  <c r="C8" i="2"/>
  <c r="G5" i="10" l="1"/>
  <c r="I5" i="10" s="1"/>
  <c r="F10" i="23"/>
  <c r="F5" i="10"/>
  <c r="E10" i="23"/>
  <c r="D5" i="10"/>
  <c r="C10" i="23"/>
  <c r="J44" i="26"/>
  <c r="I44" i="26"/>
  <c r="J6" i="10"/>
  <c r="I10" i="23" s="1"/>
  <c r="K6" i="10"/>
  <c r="J10" i="23" s="1"/>
  <c r="I6" i="10"/>
  <c r="H10" i="23" s="1"/>
  <c r="K7" i="10"/>
  <c r="J7" i="10"/>
  <c r="I7" i="10"/>
  <c r="G50" i="23"/>
  <c r="I4" i="10"/>
  <c r="H50" i="23" s="1"/>
  <c r="K4" i="10"/>
  <c r="J50" i="23" s="1"/>
  <c r="J4" i="10"/>
  <c r="I50" i="23" s="1"/>
  <c r="D33" i="27"/>
  <c r="K8" i="10"/>
  <c r="J10" i="24" s="1"/>
  <c r="J8" i="10"/>
  <c r="I10" i="24" s="1"/>
  <c r="I8" i="10"/>
  <c r="H10" i="24" s="1"/>
  <c r="J8" i="8"/>
  <c r="I8" i="8"/>
  <c r="K8" i="8"/>
  <c r="I7" i="8"/>
  <c r="H8" i="24" s="1"/>
  <c r="K7" i="8"/>
  <c r="J8" i="24" s="1"/>
  <c r="J7" i="8"/>
  <c r="I8" i="24" s="1"/>
  <c r="K7" i="7"/>
  <c r="J7" i="24" s="1"/>
  <c r="J7" i="7"/>
  <c r="I7" i="24" s="1"/>
  <c r="I7" i="7"/>
  <c r="H7" i="24" s="1"/>
  <c r="K6" i="8"/>
  <c r="J8" i="23" s="1"/>
  <c r="J6" i="8"/>
  <c r="I8" i="23" s="1"/>
  <c r="I6" i="8"/>
  <c r="H8" i="23" s="1"/>
  <c r="K4" i="8"/>
  <c r="J48" i="23" s="1"/>
  <c r="J4" i="8"/>
  <c r="I48" i="23" s="1"/>
  <c r="I4" i="8"/>
  <c r="H48" i="23" s="1"/>
  <c r="G7" i="23"/>
  <c r="K6" i="7"/>
  <c r="J7" i="23" s="1"/>
  <c r="J6" i="7"/>
  <c r="I7" i="23" s="1"/>
  <c r="I6" i="7"/>
  <c r="H7" i="23" s="1"/>
  <c r="K4" i="7"/>
  <c r="J47" i="23" s="1"/>
  <c r="J4" i="7"/>
  <c r="I47" i="23" s="1"/>
  <c r="I4" i="7"/>
  <c r="H47" i="23" s="1"/>
  <c r="K5" i="8"/>
  <c r="I5" i="8"/>
  <c r="J5" i="8"/>
  <c r="D7" i="24"/>
  <c r="F7" i="27"/>
  <c r="E55" i="27"/>
  <c r="E41" i="27"/>
  <c r="G8" i="23"/>
  <c r="J29" i="24"/>
  <c r="I30" i="24"/>
  <c r="C47" i="26"/>
  <c r="C35" i="26"/>
  <c r="H56" i="26"/>
  <c r="J56" i="26"/>
  <c r="H59" i="26"/>
  <c r="H12" i="24"/>
  <c r="J28" i="24"/>
  <c r="I13" i="24"/>
  <c r="I28" i="24"/>
  <c r="I12" i="24"/>
  <c r="D60" i="23"/>
  <c r="E60" i="23"/>
  <c r="C41" i="23"/>
  <c r="F60" i="23"/>
  <c r="K5" i="10" l="1"/>
  <c r="J5" i="10"/>
  <c r="J47" i="26"/>
  <c r="I47" i="26"/>
  <c r="J35" i="26"/>
  <c r="I35" i="26"/>
  <c r="G7" i="27"/>
  <c r="D16" i="27"/>
  <c r="E7" i="27"/>
  <c r="J60" i="26" l="1"/>
  <c r="H60" i="26"/>
  <c r="F10" i="2" l="1"/>
  <c r="E10" i="2"/>
  <c r="D10" i="2"/>
  <c r="C10" i="2"/>
  <c r="C9" i="23"/>
  <c r="D9" i="23"/>
  <c r="E9" i="23"/>
  <c r="F9" i="23"/>
  <c r="G49" i="23"/>
  <c r="F49" i="23"/>
  <c r="E49" i="23"/>
  <c r="D49" i="23"/>
  <c r="C49" i="23"/>
  <c r="C9" i="2"/>
  <c r="D9" i="2"/>
  <c r="E9" i="2"/>
  <c r="F9" i="2"/>
  <c r="C7" i="2"/>
  <c r="D7" i="2"/>
  <c r="E7" i="2"/>
  <c r="F7" i="2"/>
  <c r="G46" i="23"/>
  <c r="E46" i="23"/>
  <c r="D46" i="23"/>
  <c r="C46" i="23"/>
  <c r="C6" i="23"/>
  <c r="D6" i="23"/>
  <c r="E6" i="23"/>
  <c r="F6" i="23"/>
  <c r="E6" i="24"/>
  <c r="D6" i="24"/>
  <c r="C6" i="24"/>
  <c r="G6" i="24"/>
  <c r="F6" i="24"/>
  <c r="F6" i="2"/>
  <c r="E6" i="2"/>
  <c r="D6" i="2"/>
  <c r="C6" i="2"/>
  <c r="G45" i="23"/>
  <c r="F45" i="23"/>
  <c r="E45" i="23"/>
  <c r="D45" i="23"/>
  <c r="C45" i="23"/>
  <c r="C5" i="24"/>
  <c r="D5" i="24"/>
  <c r="E5" i="24"/>
  <c r="F5" i="24"/>
  <c r="G5" i="24"/>
  <c r="F5" i="2"/>
  <c r="E5" i="2"/>
  <c r="D5" i="2"/>
  <c r="C5" i="2"/>
  <c r="G4" i="24"/>
  <c r="F4" i="24"/>
  <c r="E4" i="24"/>
  <c r="D4" i="24"/>
  <c r="C4" i="24"/>
  <c r="C4" i="23"/>
  <c r="D4" i="23"/>
  <c r="E4" i="23"/>
  <c r="F4" i="23"/>
  <c r="G44" i="23"/>
  <c r="F44" i="23"/>
  <c r="E44" i="23"/>
  <c r="D44" i="23"/>
  <c r="C44" i="23"/>
  <c r="C4" i="2"/>
  <c r="D4" i="2"/>
  <c r="E4" i="2"/>
  <c r="F4" i="2"/>
  <c r="K13" i="3"/>
  <c r="J36" i="26" s="1"/>
  <c r="K12" i="3"/>
  <c r="J3" i="26" s="1"/>
  <c r="K11" i="3"/>
  <c r="K10" i="3"/>
  <c r="K9" i="3"/>
  <c r="K8" i="3"/>
  <c r="H2" i="10"/>
  <c r="G2" i="10"/>
  <c r="F2" i="10"/>
  <c r="E2" i="10"/>
  <c r="D2" i="10"/>
  <c r="H2" i="9"/>
  <c r="G2" i="9"/>
  <c r="F2" i="9"/>
  <c r="E2" i="9"/>
  <c r="D2" i="9"/>
  <c r="H2" i="8"/>
  <c r="G2" i="8"/>
  <c r="F2" i="8"/>
  <c r="E2" i="8"/>
  <c r="D2" i="8"/>
  <c r="H2" i="7"/>
  <c r="G2" i="7"/>
  <c r="F2" i="7"/>
  <c r="E2" i="7"/>
  <c r="D2" i="7"/>
  <c r="H2" i="6"/>
  <c r="G2" i="6"/>
  <c r="F2" i="6"/>
  <c r="E2" i="6"/>
  <c r="D2" i="6"/>
  <c r="H2" i="5"/>
  <c r="G2" i="5"/>
  <c r="F2" i="5"/>
  <c r="E2" i="5"/>
  <c r="D2" i="5"/>
  <c r="H2" i="4"/>
  <c r="G2" i="4"/>
  <c r="F2" i="4"/>
  <c r="E2" i="4"/>
  <c r="D2" i="4"/>
  <c r="I13" i="3"/>
  <c r="H36" i="26" s="1"/>
  <c r="I12" i="3"/>
  <c r="H3" i="26" s="1"/>
  <c r="I11" i="3"/>
  <c r="I10" i="3"/>
  <c r="I9" i="3"/>
  <c r="I8" i="3"/>
  <c r="J13" i="3"/>
  <c r="I36" i="26" s="1"/>
  <c r="J12" i="3"/>
  <c r="I3" i="26" s="1"/>
  <c r="J11" i="3"/>
  <c r="J10" i="3"/>
  <c r="J9" i="3"/>
  <c r="J8" i="3"/>
  <c r="G3" i="24"/>
  <c r="F3" i="24"/>
  <c r="E3" i="24"/>
  <c r="D3" i="24"/>
  <c r="C3" i="24"/>
  <c r="C3" i="23"/>
  <c r="E3" i="23"/>
  <c r="F3" i="23"/>
  <c r="G43" i="23"/>
  <c r="F43" i="23"/>
  <c r="E43" i="23"/>
  <c r="D43" i="23"/>
  <c r="C43" i="23"/>
  <c r="D3" i="2"/>
  <c r="E3" i="2"/>
  <c r="F3" i="2"/>
  <c r="I6" i="4" l="1"/>
  <c r="H4" i="23" s="1"/>
  <c r="F46" i="23"/>
  <c r="E5" i="23"/>
  <c r="F5" i="23"/>
  <c r="C5" i="23"/>
  <c r="D5" i="5"/>
  <c r="D5" i="23"/>
  <c r="I7" i="4"/>
  <c r="H4" i="24" s="1"/>
  <c r="J7" i="4"/>
  <c r="I4" i="24" s="1"/>
  <c r="K7" i="4"/>
  <c r="J4" i="24" s="1"/>
  <c r="I7" i="6"/>
  <c r="H6" i="24" s="1"/>
  <c r="K7" i="6"/>
  <c r="J6" i="24" s="1"/>
  <c r="J7" i="6"/>
  <c r="I6" i="24" s="1"/>
  <c r="K7" i="5"/>
  <c r="J5" i="24" s="1"/>
  <c r="J7" i="5"/>
  <c r="I5" i="24" s="1"/>
  <c r="I7" i="5"/>
  <c r="H5" i="24" s="1"/>
  <c r="K7" i="9"/>
  <c r="J9" i="24" s="1"/>
  <c r="J7" i="9"/>
  <c r="I9" i="24" s="1"/>
  <c r="H9" i="24"/>
  <c r="J4" i="6"/>
  <c r="I46" i="23" s="1"/>
  <c r="K4" i="6"/>
  <c r="J46" i="23" s="1"/>
  <c r="I4" i="6"/>
  <c r="H46" i="23" s="1"/>
  <c r="K4" i="4"/>
  <c r="J44" i="23" s="1"/>
  <c r="I4" i="4"/>
  <c r="H44" i="23" s="1"/>
  <c r="J4" i="4"/>
  <c r="I44" i="23" s="1"/>
  <c r="I4" i="5"/>
  <c r="H45" i="23" s="1"/>
  <c r="K4" i="5"/>
  <c r="J45" i="23" s="1"/>
  <c r="J4" i="5"/>
  <c r="I45" i="23" s="1"/>
  <c r="K4" i="9"/>
  <c r="J49" i="23" s="1"/>
  <c r="J4" i="9"/>
  <c r="I49" i="23" s="1"/>
  <c r="I4" i="9"/>
  <c r="H49" i="23" s="1"/>
  <c r="K6" i="4"/>
  <c r="J4" i="23" s="1"/>
  <c r="J6" i="4"/>
  <c r="I4" i="23" s="1"/>
  <c r="K6" i="5"/>
  <c r="J5" i="23" s="1"/>
  <c r="J6" i="5"/>
  <c r="I5" i="23" s="1"/>
  <c r="I6" i="5"/>
  <c r="H5" i="23" s="1"/>
  <c r="K6" i="6"/>
  <c r="J6" i="23" s="1"/>
  <c r="I6" i="6"/>
  <c r="H6" i="23" s="1"/>
  <c r="J6" i="6"/>
  <c r="I6" i="23" s="1"/>
  <c r="I6" i="9"/>
  <c r="H9" i="23" s="1"/>
  <c r="K6" i="9"/>
  <c r="J9" i="23" s="1"/>
  <c r="J6" i="9"/>
  <c r="I9" i="23" s="1"/>
  <c r="E2" i="2"/>
  <c r="F2" i="2"/>
  <c r="D2" i="2"/>
  <c r="C3" i="2"/>
  <c r="C2" i="2" s="1"/>
  <c r="K7" i="3"/>
  <c r="J3" i="24" s="1"/>
  <c r="G4" i="23"/>
  <c r="D3" i="23"/>
  <c r="J7" i="3"/>
  <c r="I3" i="24" s="1"/>
  <c r="G5" i="23"/>
  <c r="I6" i="3"/>
  <c r="H3" i="23" s="1"/>
  <c r="G3" i="23"/>
  <c r="K4" i="3"/>
  <c r="J43" i="23" s="1"/>
  <c r="G6" i="23"/>
  <c r="G9" i="23"/>
  <c r="J4" i="3"/>
  <c r="I43" i="23" s="1"/>
  <c r="I4" i="3"/>
  <c r="H43" i="23" s="1"/>
  <c r="D5" i="7"/>
  <c r="J6" i="3"/>
  <c r="I3" i="23" s="1"/>
  <c r="K6" i="3"/>
  <c r="J3" i="23" s="1"/>
  <c r="I7" i="3"/>
  <c r="H3" i="24" s="1"/>
  <c r="D5" i="9"/>
  <c r="I5" i="9"/>
  <c r="D5" i="4"/>
  <c r="D5" i="6"/>
  <c r="D5" i="3"/>
  <c r="K5" i="9" l="1"/>
  <c r="I5" i="4"/>
  <c r="K5" i="4"/>
  <c r="J5" i="4"/>
  <c r="J5" i="9"/>
  <c r="I5" i="7"/>
  <c r="K5" i="7"/>
  <c r="J5" i="7"/>
  <c r="K5" i="5"/>
  <c r="J5" i="5"/>
  <c r="I5" i="5"/>
  <c r="K5" i="6"/>
  <c r="J5" i="6"/>
  <c r="I5" i="6"/>
  <c r="K5" i="3"/>
  <c r="I5" i="3"/>
  <c r="J5" i="3"/>
  <c r="H2" i="3" l="1"/>
  <c r="G2" i="3"/>
  <c r="F2" i="3"/>
  <c r="E2" i="3"/>
  <c r="D2" i="3"/>
  <c r="C2" i="25" l="1"/>
  <c r="I2" i="25" l="1"/>
  <c r="J2" i="25"/>
  <c r="C76" i="25"/>
  <c r="I76" i="25" l="1"/>
  <c r="J76" i="25"/>
  <c r="C85" i="25"/>
  <c r="J43" i="25"/>
  <c r="I43" i="25"/>
  <c r="I85" i="25" l="1"/>
  <c r="J85" i="25"/>
  <c r="G2" i="26"/>
  <c r="G26" i="26" l="1"/>
  <c r="C23" i="26" l="1"/>
  <c r="J23" i="26" l="1"/>
  <c r="I23" i="26"/>
  <c r="C11" i="26"/>
  <c r="I11" i="26" l="1"/>
  <c r="J11" i="26"/>
  <c r="C14" i="26"/>
  <c r="I14" i="26" l="1"/>
  <c r="J14" i="26"/>
  <c r="D2" i="26"/>
  <c r="D26" i="26" s="1"/>
  <c r="C2" i="26"/>
  <c r="E2" i="26"/>
  <c r="E26" i="26" s="1"/>
  <c r="C26" i="26" l="1"/>
  <c r="F2" i="26"/>
  <c r="J2" i="26" s="1"/>
  <c r="F26" i="26" l="1"/>
  <c r="H26" i="26" s="1"/>
  <c r="H2" i="26"/>
  <c r="I2" i="26"/>
  <c r="J26" i="26" l="1"/>
  <c r="I26" i="26"/>
  <c r="F17" i="2" l="1"/>
  <c r="F32" i="2" s="1"/>
  <c r="E17" i="2"/>
  <c r="D17" i="2"/>
  <c r="C17" i="2"/>
  <c r="C32" i="2" l="1"/>
  <c r="E32" i="2"/>
  <c r="D32" i="2"/>
  <c r="I26" i="2"/>
  <c r="H26" i="2"/>
  <c r="J26" i="2"/>
  <c r="K5" i="21" l="1"/>
  <c r="I5" i="21"/>
  <c r="G29" i="2"/>
  <c r="J5" i="21"/>
  <c r="I4" i="21" l="1"/>
  <c r="G28" i="2"/>
  <c r="J4" i="21"/>
  <c r="K4" i="21"/>
  <c r="H29" i="2"/>
  <c r="I29" i="2"/>
  <c r="J29" i="2"/>
  <c r="J28" i="2" l="1"/>
  <c r="H28" i="2"/>
  <c r="I28" i="2"/>
  <c r="J3" i="21"/>
  <c r="K3" i="21"/>
  <c r="I3" i="21"/>
  <c r="I5" i="22" l="1"/>
  <c r="G31" i="2"/>
  <c r="K5" i="22"/>
  <c r="J5" i="22"/>
  <c r="H31" i="2" l="1"/>
  <c r="I31" i="2"/>
  <c r="J31" i="2"/>
  <c r="I3" i="10" l="1"/>
  <c r="G10" i="2"/>
  <c r="J3" i="10"/>
  <c r="K3" i="10"/>
  <c r="J10" i="2" l="1"/>
  <c r="I10" i="2"/>
  <c r="H10" i="2"/>
  <c r="I3" i="7" l="1"/>
  <c r="K3" i="7"/>
  <c r="J3" i="7"/>
  <c r="G7" i="2"/>
  <c r="G5" i="2"/>
  <c r="J3" i="5"/>
  <c r="I3" i="5"/>
  <c r="K3" i="5"/>
  <c r="G9" i="2"/>
  <c r="K3" i="9"/>
  <c r="J3" i="9"/>
  <c r="I3" i="9"/>
  <c r="K3" i="6"/>
  <c r="I3" i="6"/>
  <c r="G6" i="2"/>
  <c r="J3" i="6"/>
  <c r="H5" i="2" l="1"/>
  <c r="I5" i="2"/>
  <c r="J5" i="2"/>
  <c r="I7" i="2"/>
  <c r="J7" i="2"/>
  <c r="H7" i="2"/>
  <c r="J6" i="2"/>
  <c r="H6" i="2"/>
  <c r="I6" i="2"/>
  <c r="H9" i="2"/>
  <c r="J9" i="2"/>
  <c r="I9" i="2"/>
  <c r="J3" i="8" l="1"/>
  <c r="I3" i="8"/>
  <c r="G8" i="2"/>
  <c r="K3" i="8"/>
  <c r="I8" i="2" l="1"/>
  <c r="H8" i="2"/>
  <c r="J8" i="2"/>
  <c r="K3" i="4" l="1"/>
  <c r="J3" i="4"/>
  <c r="I3" i="4"/>
  <c r="G4" i="2"/>
  <c r="I4" i="2" l="1"/>
  <c r="J4" i="2"/>
  <c r="H4" i="2"/>
  <c r="K3" i="3" l="1"/>
  <c r="J3" i="3"/>
  <c r="G3" i="2"/>
  <c r="I3" i="3"/>
  <c r="H3" i="2" l="1"/>
  <c r="I3" i="2"/>
  <c r="J3" i="2"/>
  <c r="G2" i="2"/>
  <c r="H2" i="2" l="1"/>
  <c r="J2" i="2"/>
  <c r="I2" i="2"/>
  <c r="I3" i="15" l="1"/>
  <c r="J3" i="15"/>
  <c r="G20" i="2"/>
  <c r="K3" i="15"/>
  <c r="H20" i="2" l="1"/>
  <c r="J20" i="2"/>
  <c r="I20" i="2"/>
  <c r="G23" i="2" l="1"/>
  <c r="K3" i="18"/>
  <c r="I3" i="18"/>
  <c r="J3" i="18"/>
  <c r="I23" i="2" l="1"/>
  <c r="J23" i="2"/>
  <c r="H23" i="2"/>
  <c r="G24" i="2" l="1"/>
  <c r="J3" i="19"/>
  <c r="I68" i="23" s="1"/>
  <c r="I3" i="19"/>
  <c r="H68" i="23" s="1"/>
  <c r="K3" i="19"/>
  <c r="J68" i="23" s="1"/>
  <c r="I24" i="2" l="1"/>
  <c r="J24" i="2"/>
  <c r="H24" i="2"/>
  <c r="G17" i="2"/>
  <c r="J17" i="2" l="1"/>
  <c r="I17" i="2"/>
  <c r="H17" i="2"/>
  <c r="G30" i="2" l="1"/>
  <c r="I4" i="22"/>
  <c r="J4" i="22"/>
  <c r="K4" i="22"/>
  <c r="H3" i="22"/>
  <c r="K3" i="22" l="1"/>
  <c r="J3" i="22"/>
  <c r="I3" i="22"/>
  <c r="I30" i="2"/>
  <c r="H30" i="2"/>
  <c r="J30" i="2"/>
  <c r="G27" i="2"/>
  <c r="G32" i="2" l="1"/>
  <c r="J27" i="2"/>
  <c r="I27" i="2"/>
  <c r="H27" i="2"/>
  <c r="H32" i="2" l="1"/>
  <c r="I32" i="2"/>
  <c r="J32" i="2"/>
</calcChain>
</file>

<file path=xl/sharedStrings.xml><?xml version="1.0" encoding="utf-8"?>
<sst xmlns="http://schemas.openxmlformats.org/spreadsheetml/2006/main" count="2139" uniqueCount="429">
  <si>
    <t xml:space="preserve">Name </t>
  </si>
  <si>
    <t>Purpose</t>
  </si>
  <si>
    <t>For current reporting historical statsistics for a range of industries and measures</t>
  </si>
  <si>
    <t xml:space="preserve">Prepared By </t>
  </si>
  <si>
    <t>Niall Cummings, Insights &amp; Industry Analysis</t>
  </si>
  <si>
    <t>Prepared</t>
  </si>
  <si>
    <t>Catalogue Index</t>
  </si>
  <si>
    <t>Wheat</t>
  </si>
  <si>
    <t>Barley</t>
  </si>
  <si>
    <t>Rice</t>
  </si>
  <si>
    <t>Pulses</t>
  </si>
  <si>
    <t>Oilseeds</t>
  </si>
  <si>
    <t>Cotton Lint</t>
  </si>
  <si>
    <t>Sugar Cane</t>
  </si>
  <si>
    <t>Horticulture</t>
  </si>
  <si>
    <t>Wine</t>
  </si>
  <si>
    <t>Beef</t>
  </si>
  <si>
    <t>Pork</t>
  </si>
  <si>
    <t>Poultry</t>
  </si>
  <si>
    <t>Wool</t>
  </si>
  <si>
    <t>Eggs</t>
  </si>
  <si>
    <t>Milk</t>
  </si>
  <si>
    <t>Forestry</t>
  </si>
  <si>
    <t>Fisheries</t>
  </si>
  <si>
    <t>Production Data Consolidated</t>
  </si>
  <si>
    <t>Price Data Consolidated</t>
  </si>
  <si>
    <t>Exports Data Consolidated</t>
  </si>
  <si>
    <t>Imports &amp; Trade Balance Data Consolidated</t>
  </si>
  <si>
    <t>Jobs &amp; Businesses Consolidated</t>
  </si>
  <si>
    <t>Consolidated Footnotes</t>
  </si>
  <si>
    <t>Gross Value of Production</t>
  </si>
  <si>
    <t>Broadacre Cropping Sub-total</t>
  </si>
  <si>
    <t>Other Coarse Grains</t>
  </si>
  <si>
    <t>Horticulture &amp; Viticulture Sub-total</t>
  </si>
  <si>
    <t>Fruit, Nuts, Table Grapes</t>
  </si>
  <si>
    <t>Vegetables</t>
  </si>
  <si>
    <t>Nurseries, Cut Flowers, Turf</t>
  </si>
  <si>
    <t>Wine Grapes</t>
  </si>
  <si>
    <t>Livestock &amp; Livestock Products Sub-total</t>
  </si>
  <si>
    <t>Beef Cattle</t>
  </si>
  <si>
    <t>Lamb &amp; Mutton</t>
  </si>
  <si>
    <t>Honey &amp; Beeswax</t>
  </si>
  <si>
    <t>TOTAL GVP</t>
  </si>
  <si>
    <t>Footnotes</t>
  </si>
  <si>
    <t>Units</t>
  </si>
  <si>
    <t>$m</t>
  </si>
  <si>
    <t>2018-19</t>
  </si>
  <si>
    <t>Year On Year Change (%)</t>
  </si>
  <si>
    <t>5 Year Average</t>
  </si>
  <si>
    <t>5 Year MA Change (%)</t>
  </si>
  <si>
    <t>Data Source PDI Shortname</t>
  </si>
  <si>
    <t>Data Source Full Reference</t>
  </si>
  <si>
    <t>Measure</t>
  </si>
  <si>
    <t>Destination</t>
  </si>
  <si>
    <t>Area Planted</t>
  </si>
  <si>
    <t>000 ha</t>
  </si>
  <si>
    <t>Yield</t>
  </si>
  <si>
    <t>tonnes/ha</t>
  </si>
  <si>
    <t>Production</t>
  </si>
  <si>
    <t>000 tonnes</t>
  </si>
  <si>
    <t>Price</t>
  </si>
  <si>
    <t>$/tonne</t>
  </si>
  <si>
    <t>Export Value</t>
  </si>
  <si>
    <t xml:space="preserve">Total </t>
  </si>
  <si>
    <t>Imports</t>
  </si>
  <si>
    <t>5 Year MA</t>
  </si>
  <si>
    <t>Coarse Grains</t>
  </si>
  <si>
    <t>Canola</t>
  </si>
  <si>
    <t>Sugarcane</t>
  </si>
  <si>
    <t>Price (Sorghum)</t>
  </si>
  <si>
    <t>000 bales (227kg)</t>
  </si>
  <si>
    <t>bales/ha</t>
  </si>
  <si>
    <t>$/bale</t>
  </si>
  <si>
    <t>Price (Soybeans)</t>
  </si>
  <si>
    <t>Price (Canola)</t>
  </si>
  <si>
    <t>Yield (Canola)</t>
  </si>
  <si>
    <t>000 head</t>
  </si>
  <si>
    <t>Cattle Herd (NSW)</t>
  </si>
  <si>
    <t>NSW Beef Cattle Herd Contribution</t>
  </si>
  <si>
    <t>% of National</t>
  </si>
  <si>
    <t>Production (NSW Slaughter)</t>
  </si>
  <si>
    <t>Production (NSW Head Adult &amp; Calves)</t>
  </si>
  <si>
    <t>000 Head</t>
  </si>
  <si>
    <t>kg/head</t>
  </si>
  <si>
    <t>Price (EYCI)</t>
  </si>
  <si>
    <t>Ac/kg (cwt)</t>
  </si>
  <si>
    <t>2019-20</t>
  </si>
  <si>
    <t>Coarse Grains (Sorghum, Corn and Oats)</t>
  </si>
  <si>
    <t>Export Value (Australia)</t>
  </si>
  <si>
    <t>Price (Chickpeas)</t>
  </si>
  <si>
    <t>tonnes/ha (Cane)</t>
  </si>
  <si>
    <t>000 tonnes (Cane)</t>
  </si>
  <si>
    <t>GVP (Total excl. Wine Grapes)</t>
  </si>
  <si>
    <t>GVP (Fruit, Nut &amp; Table Grapes)</t>
  </si>
  <si>
    <t>GVP (Vegetables)</t>
  </si>
  <si>
    <t>GVP (Nurseries, Cut Flowers, Turf)</t>
  </si>
  <si>
    <t>Area (Nurseries, Cut Flowers, Turf)</t>
  </si>
  <si>
    <t>000 hectares</t>
  </si>
  <si>
    <t>CPI (Sydney)</t>
  </si>
  <si>
    <t>Production (Sydney &amp; Pacific Rock Oysters)</t>
  </si>
  <si>
    <t>million dozens</t>
  </si>
  <si>
    <t>Production (Wild Caught Harvest)</t>
  </si>
  <si>
    <t>Industry Production Volumes</t>
  </si>
  <si>
    <t xml:space="preserve">Broadacre Cropping </t>
  </si>
  <si>
    <t xml:space="preserve">Horticulture &amp; Viticulture </t>
  </si>
  <si>
    <t>Fruit (Oranges, Mandarins)</t>
  </si>
  <si>
    <t>Nuts (Macadamias, Almonds</t>
  </si>
  <si>
    <t>Vegetables (Melons)</t>
  </si>
  <si>
    <t>Vegetables (Mushrooms)</t>
  </si>
  <si>
    <t>Vegetables (Potatoes)</t>
  </si>
  <si>
    <t xml:space="preserve">Livestock &amp; Livestock Products </t>
  </si>
  <si>
    <t xml:space="preserve">Forestry &amp; Fisheries </t>
  </si>
  <si>
    <t>Softwood</t>
  </si>
  <si>
    <t>Hardwood</t>
  </si>
  <si>
    <t>Wild Caught</t>
  </si>
  <si>
    <t>Industry Production Areas (Cropping &amp; Forestry)</t>
  </si>
  <si>
    <t>Industry Livestock Numbers (Livestock)</t>
  </si>
  <si>
    <t>Lamb &amp; Mutton Total</t>
  </si>
  <si>
    <t>million head</t>
  </si>
  <si>
    <t>Non Merino Ewes - 1 Year or Greater</t>
  </si>
  <si>
    <t>Merino Ewes - 1 Year or Greater</t>
  </si>
  <si>
    <t>Pigs</t>
  </si>
  <si>
    <t>Meat Poultry</t>
  </si>
  <si>
    <t>Layers &amp; Pullets</t>
  </si>
  <si>
    <t>Dairy Herd Total</t>
  </si>
  <si>
    <t>Cows in Milk &amp; Dry</t>
  </si>
  <si>
    <t>Industry Prices</t>
  </si>
  <si>
    <t>Broadacre Cropping</t>
  </si>
  <si>
    <t>Pulses (Chickpeas)</t>
  </si>
  <si>
    <t>Oilseeds (Canola)</t>
  </si>
  <si>
    <t>Horticulture &amp; Viticulture</t>
  </si>
  <si>
    <t>Fruit (Consumer Price Index)</t>
  </si>
  <si>
    <t>CPI</t>
  </si>
  <si>
    <t>Vegetables (Consumer Price Index)</t>
  </si>
  <si>
    <t>Beef Cattle (EYCI)</t>
  </si>
  <si>
    <t>Ac/kg cwt</t>
  </si>
  <si>
    <t>Beef Cattle (NSW Saleyard Medium Cow)</t>
  </si>
  <si>
    <t>Beef Cattle (NSW Saleyard Trade Steer)</t>
  </si>
  <si>
    <t>Lamb (ESTLI)</t>
  </si>
  <si>
    <t>Mutton (Eastern States Mutton Indicator)</t>
  </si>
  <si>
    <t>Goat (NSW Average OTH Goat Indicators)</t>
  </si>
  <si>
    <t>Wool (EMI)</t>
  </si>
  <si>
    <t>Ac/kg clean</t>
  </si>
  <si>
    <t>Eggs (Consumer Price Index)</t>
  </si>
  <si>
    <t>Milk (NSW Farm Gate)</t>
  </si>
  <si>
    <t>Ac/litre</t>
  </si>
  <si>
    <t>Forestry &amp; Fisheries</t>
  </si>
  <si>
    <t>$/m3</t>
  </si>
  <si>
    <t>Fish &amp; Other Seafood (Consumer Price Index)</t>
  </si>
  <si>
    <t>ANZSIC Code</t>
  </si>
  <si>
    <t>Agriculture</t>
  </si>
  <si>
    <t>N/A</t>
  </si>
  <si>
    <t>No.</t>
  </si>
  <si>
    <t>Support Services</t>
  </si>
  <si>
    <t>Total</t>
  </si>
  <si>
    <t>Sources</t>
  </si>
  <si>
    <t>Jobs &amp; Businesses By Industry Group</t>
  </si>
  <si>
    <t>Agriculture, Forestry and Fishing Sub-total</t>
  </si>
  <si>
    <t>A00 Agriculture, Forestry and Fishing nfd</t>
  </si>
  <si>
    <t>Agriculture Sub-total</t>
  </si>
  <si>
    <t>010 Agriculture nfd</t>
  </si>
  <si>
    <t>011 Nursery and Floriculture Production</t>
  </si>
  <si>
    <t>012 Mushroom and Vegetable Growing</t>
  </si>
  <si>
    <t>013 Fruit and Tree Nut Growing</t>
  </si>
  <si>
    <t>014 Sheep, Beef Cattle and Grain Farming</t>
  </si>
  <si>
    <t>015 Other Crop Growing</t>
  </si>
  <si>
    <t>016 Dairy Cattle Farming</t>
  </si>
  <si>
    <t>017 Poultry Farming</t>
  </si>
  <si>
    <t>018 Deer Farming</t>
  </si>
  <si>
    <t>019 Other Livestock Farming</t>
  </si>
  <si>
    <t>Aquaculture Sub-total</t>
  </si>
  <si>
    <t>020 Aquaculture</t>
  </si>
  <si>
    <t>Forestry and Logging Sub-total</t>
  </si>
  <si>
    <t>030 Forestry and Logging</t>
  </si>
  <si>
    <t>Fishing, Hunting and Trapping Sub-total</t>
  </si>
  <si>
    <t>040 Fishing, Hunting and Trapping nfd</t>
  </si>
  <si>
    <t>041 Fishing</t>
  </si>
  <si>
    <t>042 Hunting and Trapping</t>
  </si>
  <si>
    <t>Agriculture, Forestry and Fishing Support Services Sub-total</t>
  </si>
  <si>
    <t>051 Forestry Support Services</t>
  </si>
  <si>
    <t>052 Agriculture and Fishing Support Services</t>
  </si>
  <si>
    <t>Food Product Manufacturing Sub-total</t>
  </si>
  <si>
    <t>110 Food Product Manufacturing nfd</t>
  </si>
  <si>
    <t>111 Meat and Meat Product Manufacturing</t>
  </si>
  <si>
    <t>112 Seafood Processing</t>
  </si>
  <si>
    <t>113 Dairy Product Manufacturing</t>
  </si>
  <si>
    <t>114 Fruit and Vegetable Processing</t>
  </si>
  <si>
    <t>115 Oil and Fat Manufacturing</t>
  </si>
  <si>
    <t>116 Grain Mill and Cereal Product Manufacturing</t>
  </si>
  <si>
    <t>117 Bakery Product Manufacturing</t>
  </si>
  <si>
    <t>118 Sugar and Confectionery Manufacturing</t>
  </si>
  <si>
    <t>119 Other Food Product Manufacturing</t>
  </si>
  <si>
    <t>Wood Product Manufacturing Sub-total</t>
  </si>
  <si>
    <t>141 Log Sawmilling and Timber Dressing</t>
  </si>
  <si>
    <t>149 Other Wood Product Manufacturing</t>
  </si>
  <si>
    <t>Pulp, Paper and Converted Paper Product Manufacturing Sub-total</t>
  </si>
  <si>
    <t>150 Pulp, Paper and Converted Paper Product Manufacturing nfd</t>
  </si>
  <si>
    <t>151 Pulp, Paper and Paperboard Manufacturing</t>
  </si>
  <si>
    <t>152 Converted Paper Product Manufacturing</t>
  </si>
  <si>
    <t xml:space="preserve">Industry Imports - Total </t>
  </si>
  <si>
    <t>Forestry &amp; Fisheries Sub-total</t>
  </si>
  <si>
    <t>TOTAL IMPORTS</t>
  </si>
  <si>
    <t xml:space="preserve">Industry Trade Balance - Total </t>
  </si>
  <si>
    <t>TOTAL TRADE BALANCE</t>
  </si>
  <si>
    <t>Industry Exports - Total &amp; Top 3 Destinations</t>
  </si>
  <si>
    <t>TOTAL EXPORTS</t>
  </si>
  <si>
    <t>Sugar Produced</t>
  </si>
  <si>
    <t>000 tonnes IPS</t>
  </si>
  <si>
    <t>050 Agriculture, Forestry and Fishing Support Services nfd</t>
  </si>
  <si>
    <t>million dozen</t>
  </si>
  <si>
    <t>million litres</t>
  </si>
  <si>
    <t>000 m3</t>
  </si>
  <si>
    <t>Sheep Meat</t>
  </si>
  <si>
    <t>Goat Meat</t>
  </si>
  <si>
    <t>Goat</t>
  </si>
  <si>
    <t>GVP (Lamb, Sheep)</t>
  </si>
  <si>
    <t>Sheep Flock (NSW Total)</t>
  </si>
  <si>
    <t>Non Merino Ewe Flock (NSW 1 Year Or Greater)</t>
  </si>
  <si>
    <t>Production (Lamb Slaughter)</t>
  </si>
  <si>
    <t>Production (Mutton Slaughter)</t>
  </si>
  <si>
    <t>Price (ESTLI)</t>
  </si>
  <si>
    <t>Price (Eastern States Mutton Indicator)</t>
  </si>
  <si>
    <t>tonnes</t>
  </si>
  <si>
    <t>Pig Herd (NSW Total)</t>
  </si>
  <si>
    <t>Production (Slaughter)</t>
  </si>
  <si>
    <t>Price (Gross Unit Value)</t>
  </si>
  <si>
    <t>Ac/kg</t>
  </si>
  <si>
    <t>Meat Poultry Flock (NSW)</t>
  </si>
  <si>
    <t>Production (Chicken Meat)</t>
  </si>
  <si>
    <t>Merino Ewe Flock (NSW 1 Year Or Greater)</t>
  </si>
  <si>
    <t>Price (EMI)</t>
  </si>
  <si>
    <t>c/kg (clean)</t>
  </si>
  <si>
    <t>Layers &amp; Pullets Flock (NSW)</t>
  </si>
  <si>
    <t>Production (NSW Eggs)</t>
  </si>
  <si>
    <t>NSW Egg Production Contribution</t>
  </si>
  <si>
    <t>Price (National)</t>
  </si>
  <si>
    <t>Ac/dozen</t>
  </si>
  <si>
    <t>Dairy Herd Total (NSW)</t>
  </si>
  <si>
    <t>Cows in Milk &amp; Dry (NSW)</t>
  </si>
  <si>
    <t>NSW Cows in Milk &amp; Dry Contribution</t>
  </si>
  <si>
    <t>Price (NSW milk solids)</t>
  </si>
  <si>
    <t>$/kg</t>
  </si>
  <si>
    <t>Plantation Areas (Softwood)</t>
  </si>
  <si>
    <t>Plantation Areas (Hardwood)</t>
  </si>
  <si>
    <t>Production (Softwood)</t>
  </si>
  <si>
    <t>Production (Hardwood)</t>
  </si>
  <si>
    <t>Export Value (Sorghum)</t>
  </si>
  <si>
    <t>Imports (Sorghum)</t>
  </si>
  <si>
    <t>Imports (Australia)</t>
  </si>
  <si>
    <t>Export Value (Wine)</t>
  </si>
  <si>
    <t>Average Carcass Weight (Adult cattle)</t>
  </si>
  <si>
    <t>Production (Aquaculture)</t>
  </si>
  <si>
    <t>Aquaculture (Total)</t>
  </si>
  <si>
    <t>Total Ewes</t>
  </si>
  <si>
    <t>See Below</t>
  </si>
  <si>
    <t>Export Value (NSW)</t>
  </si>
  <si>
    <t>Imports (NSW)</t>
  </si>
  <si>
    <t>Goat meat</t>
  </si>
  <si>
    <t>Lamb and Sheep Meat</t>
  </si>
  <si>
    <r>
      <t>Directly employed</t>
    </r>
    <r>
      <rPr>
        <b/>
        <i/>
        <vertAlign val="superscript"/>
        <sz val="9"/>
        <color theme="1"/>
        <rFont val="Arial"/>
        <family val="2"/>
      </rPr>
      <t>l</t>
    </r>
  </si>
  <si>
    <r>
      <t>Manufacturing Employment</t>
    </r>
    <r>
      <rPr>
        <b/>
        <i/>
        <vertAlign val="superscript"/>
        <sz val="9"/>
        <color theme="1"/>
        <rFont val="Arial"/>
        <family val="2"/>
      </rPr>
      <t>l</t>
    </r>
  </si>
  <si>
    <r>
      <t>Direct Businesses</t>
    </r>
    <r>
      <rPr>
        <b/>
        <i/>
        <vertAlign val="superscript"/>
        <sz val="9"/>
        <color theme="1"/>
        <rFont val="Arial"/>
        <family val="2"/>
      </rPr>
      <t>m</t>
    </r>
  </si>
  <si>
    <r>
      <t>Manufacturing Businesses</t>
    </r>
    <r>
      <rPr>
        <b/>
        <i/>
        <vertAlign val="superscript"/>
        <sz val="9"/>
        <color theme="1"/>
        <rFont val="Arial"/>
        <family val="2"/>
      </rPr>
      <t>m</t>
    </r>
  </si>
  <si>
    <r>
      <t>Barley</t>
    </r>
    <r>
      <rPr>
        <i/>
        <vertAlign val="superscript"/>
        <sz val="9"/>
        <color theme="1"/>
        <rFont val="Arial"/>
        <family val="2"/>
      </rPr>
      <t>j</t>
    </r>
  </si>
  <si>
    <r>
      <t>Cotton Lint</t>
    </r>
    <r>
      <rPr>
        <i/>
        <vertAlign val="superscript"/>
        <sz val="9"/>
        <color theme="1"/>
        <rFont val="Arial"/>
        <family val="2"/>
      </rPr>
      <t>j</t>
    </r>
  </si>
  <si>
    <r>
      <t>Horticulture Sub-total</t>
    </r>
    <r>
      <rPr>
        <b/>
        <vertAlign val="superscript"/>
        <sz val="9"/>
        <color theme="1"/>
        <rFont val="Arial"/>
        <family val="2"/>
      </rPr>
      <t>h</t>
    </r>
  </si>
  <si>
    <r>
      <t>Wine Grapes</t>
    </r>
    <r>
      <rPr>
        <i/>
        <vertAlign val="superscript"/>
        <sz val="9"/>
        <color theme="1"/>
        <rFont val="Arial"/>
        <family val="2"/>
      </rPr>
      <t>h</t>
    </r>
  </si>
  <si>
    <r>
      <t>Other Commodities Sub-total</t>
    </r>
    <r>
      <rPr>
        <b/>
        <vertAlign val="superscript"/>
        <sz val="9"/>
        <color theme="1"/>
        <rFont val="Arial"/>
        <family val="2"/>
      </rPr>
      <t>i</t>
    </r>
  </si>
  <si>
    <r>
      <rPr>
        <vertAlign val="superscript"/>
        <sz val="9"/>
        <color theme="1"/>
        <rFont val="Arial"/>
        <family val="2"/>
      </rPr>
      <t xml:space="preserve">h </t>
    </r>
    <r>
      <rPr>
        <sz val="9"/>
        <color theme="1"/>
        <rFont val="Arial"/>
        <family val="2"/>
      </rPr>
      <t>Wine is excluded from the total, due to classification wine becomes a processed product post farm gate and therefore excluded</t>
    </r>
  </si>
  <si>
    <r>
      <rPr>
        <vertAlign val="superscript"/>
        <sz val="9"/>
        <color theme="1"/>
        <rFont val="Arial"/>
        <family val="2"/>
      </rPr>
      <t xml:space="preserve">i </t>
    </r>
    <r>
      <rPr>
        <sz val="9"/>
        <color theme="1"/>
        <rFont val="Arial"/>
        <family val="2"/>
      </rPr>
      <t>Includes but not exclusive to other cereals, other broadacre crops, hay &amp; silage, animal products n.e.d</t>
    </r>
  </si>
  <si>
    <r>
      <rPr>
        <vertAlign val="superscript"/>
        <sz val="9"/>
        <color theme="1"/>
        <rFont val="Arial"/>
        <family val="2"/>
      </rPr>
      <t>j</t>
    </r>
    <r>
      <rPr>
        <sz val="9"/>
        <color theme="1"/>
        <rFont val="Arial"/>
        <family val="2"/>
      </rPr>
      <t xml:space="preserve"> Due to confidentiality, ABS export data restrictions have been applied and values are under-reported as a result</t>
    </r>
  </si>
  <si>
    <r>
      <rPr>
        <vertAlign val="superscript"/>
        <sz val="9"/>
        <color theme="1"/>
        <rFont val="Arial"/>
        <family val="2"/>
      </rPr>
      <t xml:space="preserve">s </t>
    </r>
    <r>
      <rPr>
        <sz val="9"/>
        <color theme="1"/>
        <rFont val="Arial"/>
        <family val="2"/>
      </rPr>
      <t>subject to revision</t>
    </r>
  </si>
  <si>
    <r>
      <t>Wine Grape</t>
    </r>
    <r>
      <rPr>
        <i/>
        <vertAlign val="superscript"/>
        <sz val="9"/>
        <color theme="1"/>
        <rFont val="Arial"/>
        <family val="2"/>
      </rPr>
      <t>h</t>
    </r>
  </si>
  <si>
    <r>
      <t>Softwood (Implied)</t>
    </r>
    <r>
      <rPr>
        <i/>
        <vertAlign val="superscript"/>
        <sz val="9"/>
        <color theme="1"/>
        <rFont val="Arial"/>
        <family val="2"/>
      </rPr>
      <t>r</t>
    </r>
  </si>
  <si>
    <r>
      <t>Hardwood (Implied)</t>
    </r>
    <r>
      <rPr>
        <i/>
        <vertAlign val="superscript"/>
        <sz val="9"/>
        <color theme="1"/>
        <rFont val="Arial"/>
        <family val="2"/>
      </rPr>
      <t>r</t>
    </r>
  </si>
  <si>
    <r>
      <t>Wine Grapes</t>
    </r>
    <r>
      <rPr>
        <i/>
        <vertAlign val="superscript"/>
        <sz val="9"/>
        <color theme="1"/>
        <rFont val="Arial"/>
        <family val="2"/>
      </rPr>
      <t>w</t>
    </r>
  </si>
  <si>
    <r>
      <t>Goat (all goats)</t>
    </r>
    <r>
      <rPr>
        <i/>
        <vertAlign val="superscript"/>
        <sz val="9"/>
        <color theme="1"/>
        <rFont val="Arial"/>
        <family val="2"/>
      </rPr>
      <t>f</t>
    </r>
  </si>
  <si>
    <r>
      <t>Milk</t>
    </r>
    <r>
      <rPr>
        <i/>
        <vertAlign val="superscript"/>
        <sz val="9"/>
        <color theme="1"/>
        <rFont val="Arial"/>
        <family val="2"/>
      </rPr>
      <t>q</t>
    </r>
  </si>
  <si>
    <r>
      <t>Aquaculture (Oysters)</t>
    </r>
    <r>
      <rPr>
        <i/>
        <vertAlign val="superscript"/>
        <sz val="9"/>
        <color theme="1"/>
        <rFont val="Arial"/>
        <family val="2"/>
      </rPr>
      <t>g</t>
    </r>
  </si>
  <si>
    <r>
      <rPr>
        <vertAlign val="superscript"/>
        <sz val="9"/>
        <color theme="1"/>
        <rFont val="Arial"/>
        <family val="2"/>
      </rPr>
      <t xml:space="preserve">k </t>
    </r>
    <r>
      <rPr>
        <sz val="9"/>
        <color theme="1"/>
        <rFont val="Arial"/>
        <family val="2"/>
      </rPr>
      <t>Includes Maize, Oats &amp; Triticale. Hay &amp; silage is excluded from this data</t>
    </r>
  </si>
  <si>
    <r>
      <rPr>
        <vertAlign val="superscript"/>
        <sz val="9"/>
        <color theme="1"/>
        <rFont val="Arial"/>
        <family val="2"/>
      </rPr>
      <t xml:space="preserve">f </t>
    </r>
    <r>
      <rPr>
        <sz val="9"/>
        <color theme="1"/>
        <rFont val="Arial"/>
        <family val="2"/>
      </rPr>
      <t>Goat production data sourced from a seperate source to GVP data. Production data includes rangeland &amp; managed goats</t>
    </r>
  </si>
  <si>
    <r>
      <rPr>
        <vertAlign val="superscript"/>
        <sz val="9"/>
        <color theme="1"/>
        <rFont val="Arial"/>
        <family val="2"/>
      </rPr>
      <t xml:space="preserve">g </t>
    </r>
    <r>
      <rPr>
        <sz val="9"/>
        <color theme="1"/>
        <rFont val="Arial"/>
        <family val="2"/>
      </rPr>
      <t>Sydney &amp; Pacific Rock Oysters only</t>
    </r>
  </si>
  <si>
    <r>
      <t>Other Crops</t>
    </r>
    <r>
      <rPr>
        <i/>
        <vertAlign val="superscript"/>
        <sz val="9"/>
        <color theme="1"/>
        <rFont val="Arial"/>
        <family val="2"/>
      </rPr>
      <t>k</t>
    </r>
  </si>
  <si>
    <r>
      <t>Industry Output</t>
    </r>
    <r>
      <rPr>
        <b/>
        <i/>
        <vertAlign val="superscript"/>
        <sz val="9"/>
        <color theme="1"/>
        <rFont val="Arial"/>
        <family val="2"/>
      </rPr>
      <t>o</t>
    </r>
  </si>
  <si>
    <r>
      <t>Other Crops</t>
    </r>
    <r>
      <rPr>
        <i/>
        <vertAlign val="superscript"/>
        <sz val="9"/>
        <color theme="1"/>
        <rFont val="Arial"/>
        <family val="2"/>
      </rPr>
      <t>b</t>
    </r>
  </si>
  <si>
    <r>
      <t>Goat (excl. Rangeland Goats)</t>
    </r>
    <r>
      <rPr>
        <i/>
        <vertAlign val="superscript"/>
        <sz val="9"/>
        <color theme="1"/>
        <rFont val="Arial"/>
        <family val="2"/>
      </rPr>
      <t>c</t>
    </r>
  </si>
  <si>
    <r>
      <t>Forestry &amp; Fisheries Sub-total</t>
    </r>
    <r>
      <rPr>
        <b/>
        <vertAlign val="superscript"/>
        <sz val="9"/>
        <color theme="1"/>
        <rFont val="Arial"/>
        <family val="2"/>
      </rPr>
      <t>t</t>
    </r>
  </si>
  <si>
    <r>
      <t>Softwood</t>
    </r>
    <r>
      <rPr>
        <i/>
        <vertAlign val="superscript"/>
        <sz val="9"/>
        <color theme="1"/>
        <rFont val="Arial"/>
        <family val="2"/>
      </rPr>
      <t>t</t>
    </r>
  </si>
  <si>
    <r>
      <t>Hardwood</t>
    </r>
    <r>
      <rPr>
        <i/>
        <vertAlign val="superscript"/>
        <sz val="9"/>
        <color theme="1"/>
        <rFont val="Arial"/>
        <family val="2"/>
      </rPr>
      <t>t</t>
    </r>
  </si>
  <si>
    <r>
      <t>Aquaculture</t>
    </r>
    <r>
      <rPr>
        <i/>
        <vertAlign val="superscript"/>
        <sz val="9"/>
        <color theme="1"/>
        <rFont val="Arial"/>
        <family val="2"/>
      </rPr>
      <t>t</t>
    </r>
  </si>
  <si>
    <r>
      <t>Wild Caught</t>
    </r>
    <r>
      <rPr>
        <i/>
        <vertAlign val="superscript"/>
        <sz val="9"/>
        <color theme="1"/>
        <rFont val="Arial"/>
        <family val="2"/>
      </rPr>
      <t>t</t>
    </r>
  </si>
  <si>
    <r>
      <rPr>
        <vertAlign val="superscript"/>
        <sz val="9"/>
        <color theme="1"/>
        <rFont val="Arial"/>
        <family val="2"/>
      </rPr>
      <t>a</t>
    </r>
    <r>
      <rPr>
        <sz val="9"/>
        <color theme="1"/>
        <rFont val="Arial"/>
        <family val="2"/>
      </rPr>
      <t xml:space="preserve"> GVP data is based on the ABS new threshold of $40k with the exception of forestry &amp; fisheries which are sourced elswhere</t>
    </r>
  </si>
  <si>
    <r>
      <rPr>
        <vertAlign val="superscript"/>
        <sz val="9"/>
        <color theme="1"/>
        <rFont val="Arial"/>
        <family val="2"/>
      </rPr>
      <t xml:space="preserve">b </t>
    </r>
    <r>
      <rPr>
        <sz val="9"/>
        <color theme="1"/>
        <rFont val="Arial"/>
        <family val="2"/>
      </rPr>
      <t>Includes other broadacre crops, hay &amp; silage</t>
    </r>
  </si>
  <si>
    <r>
      <rPr>
        <vertAlign val="superscript"/>
        <sz val="9"/>
        <color theme="1"/>
        <rFont val="Arial"/>
        <family val="2"/>
      </rPr>
      <t xml:space="preserve">c </t>
    </r>
    <r>
      <rPr>
        <sz val="9"/>
        <color theme="1"/>
        <rFont val="Arial"/>
        <family val="2"/>
      </rPr>
      <t>Goat meat not defined explicitly for each year, but assumed from historic data. ABS intermittently indicates this does not include Rangeland ("Feral") Goats.</t>
    </r>
  </si>
  <si>
    <r>
      <rPr>
        <vertAlign val="superscript"/>
        <sz val="9"/>
        <color theme="1"/>
        <rFont val="Arial"/>
        <family val="2"/>
      </rPr>
      <t>e</t>
    </r>
    <r>
      <rPr>
        <sz val="9"/>
        <color theme="1"/>
        <rFont val="Arial"/>
        <family val="2"/>
      </rPr>
      <t xml:space="preserve"> DPI estimate only, subject to revision</t>
    </r>
  </si>
  <si>
    <r>
      <rPr>
        <vertAlign val="superscript"/>
        <sz val="9"/>
        <color theme="1"/>
        <rFont val="Arial"/>
        <family val="2"/>
      </rPr>
      <t>o</t>
    </r>
    <r>
      <rPr>
        <sz val="9"/>
        <color theme="1"/>
        <rFont val="Arial"/>
        <family val="2"/>
      </rPr>
      <t xml:space="preserve"> From 2010-11 onwards, GVP is based on the ABS new EVAO threshold of greater than $40k, prior to this values are based on EVAO of greater than $5k</t>
    </r>
  </si>
  <si>
    <r>
      <rPr>
        <vertAlign val="superscript"/>
        <sz val="9"/>
        <color theme="1"/>
        <rFont val="Arial"/>
        <family val="2"/>
      </rPr>
      <t xml:space="preserve">t </t>
    </r>
    <r>
      <rPr>
        <sz val="9"/>
        <color theme="1"/>
        <rFont val="Arial"/>
        <family val="2"/>
      </rPr>
      <t>GVP is sourced sperately to Agriculture GVP and EVAO threshold differs</t>
    </r>
  </si>
  <si>
    <r>
      <t>GVP (Total)</t>
    </r>
    <r>
      <rPr>
        <vertAlign val="superscript"/>
        <sz val="9"/>
        <color theme="1"/>
        <rFont val="Arial"/>
        <family val="2"/>
      </rPr>
      <t>t</t>
    </r>
  </si>
  <si>
    <r>
      <t>GVP (Aquaculture)</t>
    </r>
    <r>
      <rPr>
        <vertAlign val="superscript"/>
        <sz val="9"/>
        <color theme="1"/>
        <rFont val="Arial"/>
        <family val="2"/>
      </rPr>
      <t>t</t>
    </r>
  </si>
  <si>
    <r>
      <t>GVP (Commercial Fisheries)</t>
    </r>
    <r>
      <rPr>
        <vertAlign val="superscript"/>
        <sz val="9"/>
        <color theme="1"/>
        <rFont val="Arial"/>
        <family val="2"/>
      </rPr>
      <t>t</t>
    </r>
  </si>
  <si>
    <r>
      <t>Consumer Price Index (Fish &amp; Other Seafood)</t>
    </r>
    <r>
      <rPr>
        <vertAlign val="superscript"/>
        <sz val="9"/>
        <color theme="1"/>
        <rFont val="Arial"/>
        <family val="2"/>
      </rPr>
      <t>U</t>
    </r>
  </si>
  <si>
    <r>
      <t>Trade Balance</t>
    </r>
    <r>
      <rPr>
        <vertAlign val="superscript"/>
        <sz val="9"/>
        <color theme="1"/>
        <rFont val="Arial"/>
        <family val="2"/>
      </rPr>
      <t>n</t>
    </r>
  </si>
  <si>
    <r>
      <t>GVP (Softwood)</t>
    </r>
    <r>
      <rPr>
        <vertAlign val="superscript"/>
        <sz val="9"/>
        <color theme="1"/>
        <rFont val="Arial"/>
        <family val="2"/>
      </rPr>
      <t>t</t>
    </r>
  </si>
  <si>
    <r>
      <t>GVP (Hardwood)</t>
    </r>
    <r>
      <rPr>
        <vertAlign val="superscript"/>
        <sz val="9"/>
        <color theme="1"/>
        <rFont val="Arial"/>
        <family val="2"/>
      </rPr>
      <t>t</t>
    </r>
  </si>
  <si>
    <r>
      <t>000 m</t>
    </r>
    <r>
      <rPr>
        <vertAlign val="superscript"/>
        <sz val="9"/>
        <color theme="1"/>
        <rFont val="Arial"/>
        <family val="2"/>
      </rPr>
      <t>3</t>
    </r>
  </si>
  <si>
    <r>
      <t>Implied Price (Softwood)</t>
    </r>
    <r>
      <rPr>
        <vertAlign val="superscript"/>
        <sz val="9"/>
        <color theme="1"/>
        <rFont val="Arial"/>
        <family val="2"/>
      </rPr>
      <t>r</t>
    </r>
  </si>
  <si>
    <r>
      <t>$/m</t>
    </r>
    <r>
      <rPr>
        <vertAlign val="superscript"/>
        <sz val="9"/>
        <color theme="1"/>
        <rFont val="Arial"/>
        <family val="2"/>
      </rPr>
      <t>3</t>
    </r>
  </si>
  <si>
    <r>
      <t>Implied Price (Hardwood)</t>
    </r>
    <r>
      <rPr>
        <vertAlign val="superscript"/>
        <sz val="9"/>
        <color theme="1"/>
        <rFont val="Arial"/>
        <family val="2"/>
      </rPr>
      <t>r</t>
    </r>
  </si>
  <si>
    <r>
      <rPr>
        <vertAlign val="superscript"/>
        <sz val="9"/>
        <color theme="1"/>
        <rFont val="Arial"/>
        <family val="2"/>
      </rPr>
      <t>n</t>
    </r>
    <r>
      <rPr>
        <sz val="9"/>
        <color theme="1"/>
        <rFont val="Arial"/>
        <family val="2"/>
      </rPr>
      <t xml:space="preserve"> Negative values denote a net import trade flow</t>
    </r>
  </si>
  <si>
    <r>
      <t>Consumer Price Index (Eggs)</t>
    </r>
    <r>
      <rPr>
        <vertAlign val="superscript"/>
        <sz val="9"/>
        <color theme="1"/>
        <rFont val="Arial"/>
        <family val="2"/>
      </rPr>
      <t>U</t>
    </r>
  </si>
  <si>
    <r>
      <rPr>
        <vertAlign val="superscript"/>
        <sz val="9"/>
        <color theme="1"/>
        <rFont val="Arial"/>
        <family val="2"/>
      </rPr>
      <t>u</t>
    </r>
    <r>
      <rPr>
        <sz val="9"/>
        <color theme="1"/>
        <rFont val="Arial"/>
        <family val="2"/>
      </rPr>
      <t xml:space="preserve"> Average over 4 quarters Sydney CPI data</t>
    </r>
  </si>
  <si>
    <r>
      <t>GVP (Goat)</t>
    </r>
    <r>
      <rPr>
        <vertAlign val="superscript"/>
        <sz val="9"/>
        <color theme="1"/>
        <rFont val="Arial"/>
        <family val="2"/>
      </rPr>
      <t>c</t>
    </r>
  </si>
  <si>
    <r>
      <t>Production (Goat Slaughter)</t>
    </r>
    <r>
      <rPr>
        <vertAlign val="superscript"/>
        <sz val="9"/>
        <color theme="1"/>
        <rFont val="Arial"/>
        <family val="2"/>
      </rPr>
      <t>f</t>
    </r>
  </si>
  <si>
    <r>
      <t>Consumer Price Index (Fruit)</t>
    </r>
    <r>
      <rPr>
        <vertAlign val="superscript"/>
        <sz val="9"/>
        <color theme="1"/>
        <rFont val="Arial"/>
        <family val="2"/>
      </rPr>
      <t>U</t>
    </r>
  </si>
  <si>
    <r>
      <t>Consumer Price Index (Vegetables)</t>
    </r>
    <r>
      <rPr>
        <vertAlign val="superscript"/>
        <sz val="9"/>
        <color theme="1"/>
        <rFont val="Arial"/>
        <family val="2"/>
      </rPr>
      <t>U</t>
    </r>
  </si>
  <si>
    <t>Gross Value of Production (GVP)</t>
  </si>
  <si>
    <r>
      <rPr>
        <vertAlign val="superscript"/>
        <sz val="9"/>
        <color theme="1"/>
        <rFont val="Arial"/>
        <family val="2"/>
      </rPr>
      <t>p</t>
    </r>
    <r>
      <rPr>
        <sz val="9"/>
        <color theme="1"/>
        <rFont val="Arial"/>
        <family val="2"/>
      </rPr>
      <t xml:space="preserve"> Some values excluded due to lack of data availability</t>
    </r>
  </si>
  <si>
    <r>
      <rPr>
        <vertAlign val="superscript"/>
        <sz val="9"/>
        <color theme="1"/>
        <rFont val="Arial"/>
        <family val="2"/>
      </rPr>
      <t>r</t>
    </r>
    <r>
      <rPr>
        <sz val="9"/>
        <color theme="1"/>
        <rFont val="Arial"/>
        <family val="2"/>
      </rPr>
      <t xml:space="preserve"> Implied price basis ABARES (2021c) GVP &amp; production data</t>
    </r>
  </si>
  <si>
    <r>
      <t>Export Value (Australia)</t>
    </r>
    <r>
      <rPr>
        <vertAlign val="superscript"/>
        <sz val="9"/>
        <color theme="1"/>
        <rFont val="Arial"/>
        <family val="2"/>
      </rPr>
      <t>j</t>
    </r>
  </si>
  <si>
    <r>
      <t>Export Value (NSW)</t>
    </r>
    <r>
      <rPr>
        <vertAlign val="superscript"/>
        <sz val="9"/>
        <color theme="1"/>
        <rFont val="Arial"/>
        <family val="2"/>
      </rPr>
      <t>j</t>
    </r>
  </si>
  <si>
    <r>
      <rPr>
        <vertAlign val="superscript"/>
        <sz val="9"/>
        <color theme="1"/>
        <rFont val="Arial"/>
        <family val="2"/>
      </rPr>
      <t>j</t>
    </r>
    <r>
      <rPr>
        <sz val="9"/>
        <color theme="1"/>
        <rFont val="Arial"/>
        <family val="2"/>
      </rPr>
      <t xml:space="preserve"> Due to confidentiality, ABS state level export data restrictions have been applied and national export figures are quoted in addition to state exports</t>
    </r>
  </si>
  <si>
    <r>
      <rPr>
        <vertAlign val="superscript"/>
        <sz val="9"/>
        <color theme="1"/>
        <rFont val="Arial"/>
        <family val="2"/>
      </rPr>
      <t xml:space="preserve">b </t>
    </r>
    <r>
      <rPr>
        <sz val="9"/>
        <color theme="1"/>
        <rFont val="Arial"/>
        <family val="2"/>
      </rPr>
      <t>Includes other cereals, other broadacre crops, hay &amp; silage</t>
    </r>
  </si>
  <si>
    <r>
      <rPr>
        <i/>
        <vertAlign val="superscript"/>
        <sz val="9"/>
        <color theme="1"/>
        <rFont val="Arial"/>
        <family val="2"/>
      </rPr>
      <t xml:space="preserve">z </t>
    </r>
    <r>
      <rPr>
        <sz val="9"/>
        <color theme="1"/>
        <rFont val="Arial"/>
        <family val="2"/>
      </rPr>
      <t>Hunting, Recreational &amp; Charter fishing output value is an estimate of participant expenditure on these activities</t>
    </r>
  </si>
  <si>
    <t>Jobs &amp; Businesses Aggregated</t>
  </si>
  <si>
    <t>$/tonne (Cane)</t>
  </si>
  <si>
    <t>ABS (2022e)</t>
  </si>
  <si>
    <t>ABS (2022g)</t>
  </si>
  <si>
    <t>ABARES (2021f)</t>
  </si>
  <si>
    <t>DA (2022b)</t>
  </si>
  <si>
    <r>
      <t xml:space="preserve">Dairy Australia (2022), </t>
    </r>
    <r>
      <rPr>
        <i/>
        <sz val="9"/>
        <rFont val="Arial"/>
        <family val="2"/>
      </rPr>
      <t>Farmgate Milk Price</t>
    </r>
    <r>
      <rPr>
        <sz val="9"/>
        <rFont val="Arial"/>
        <family val="2"/>
      </rPr>
      <t>, last accessed October 2022, &lt;https://www.dairyaustralia.com.au/industry/prices/farmgate-milk-price&gt;</t>
    </r>
  </si>
  <si>
    <t>China</t>
  </si>
  <si>
    <t>Japan</t>
  </si>
  <si>
    <t>Unidentified Country</t>
  </si>
  <si>
    <t>Bangladesh</t>
  </si>
  <si>
    <t>Pakistan</t>
  </si>
  <si>
    <t>India</t>
  </si>
  <si>
    <t>Papua New Guinea</t>
  </si>
  <si>
    <t>Hong Kong</t>
  </si>
  <si>
    <t>United States</t>
  </si>
  <si>
    <t>United Kingdom</t>
  </si>
  <si>
    <t>New Caledonia</t>
  </si>
  <si>
    <r>
      <t>2022-23</t>
    </r>
    <r>
      <rPr>
        <b/>
        <i/>
        <vertAlign val="superscript"/>
        <sz val="9"/>
        <color theme="1"/>
        <rFont val="Arial"/>
        <family val="2"/>
      </rPr>
      <t>e</t>
    </r>
  </si>
  <si>
    <t>2020-21</t>
  </si>
  <si>
    <t>PDI Statistics Tables 2023</t>
  </si>
  <si>
    <t>Australian Bureau of Agricultural and Resource Economics and Sciences (2022). Australian Forest and Wood Product Statistics September – December 2022. Last accessed October 2023.</t>
  </si>
  <si>
    <t>IHS Global Trade Atlas (GTA) (2023). Unpublished trade data accessed via subscription service. Last Accessed October 2023.</t>
  </si>
  <si>
    <t>GTA (2023)</t>
  </si>
  <si>
    <t>ABARES (2023c)</t>
  </si>
  <si>
    <r>
      <rPr>
        <vertAlign val="superscript"/>
        <sz val="9"/>
        <color theme="1"/>
        <rFont val="Arial"/>
        <family val="2"/>
      </rPr>
      <t>r</t>
    </r>
    <r>
      <rPr>
        <sz val="9"/>
        <color theme="1"/>
        <rFont val="Arial"/>
        <family val="2"/>
      </rPr>
      <t xml:space="preserve"> Implied price basis ABARES (2023c) GVP &amp; production data</t>
    </r>
  </si>
  <si>
    <t>Price (NSW Saleyard Processor Cow)</t>
  </si>
  <si>
    <t>Price (NSW Saleyard Heavy Steer)</t>
  </si>
  <si>
    <t>Harvested Area</t>
  </si>
  <si>
    <t>ABS (2023)</t>
  </si>
  <si>
    <t>Australian Bureau of Statistics (2023). 7503.0 Value of Agricultural Commodities Produced, Australia 2021-22. Last accessed October 2023. 
&lt;http://www.abs.gov.au/ausstats/abs@.nsf/mf/7503.0&gt;</t>
  </si>
  <si>
    <t>Australian Bureau of Agricultural and Resource Economics and Sciences (2023). Australian Crop Report, September 2023. Last accessed October 2023.</t>
  </si>
  <si>
    <t>ABARES (2023a)</t>
  </si>
  <si>
    <t>Australian Bureau of Agricultural and Resource Economics and Sciences (2023). Agricultural Commodities, September 2023. Last accessed October 2023.</t>
  </si>
  <si>
    <t>ABARES (2023b)</t>
  </si>
  <si>
    <t>Price (NSW Unit Value)</t>
  </si>
  <si>
    <t>Price (Eastern States OTH Goat Indicator, 16-20kg)</t>
  </si>
  <si>
    <t>MLA (2023a)</t>
  </si>
  <si>
    <t>Cattle On Feed (NSW, average level)</t>
  </si>
  <si>
    <t>Bales Tested</t>
  </si>
  <si>
    <t>NSW Production</t>
  </si>
  <si>
    <t>000 tonnes (greasy)</t>
  </si>
  <si>
    <t>Australian Wool Innovation Limited (2023). Australian Wool Production Forecasting Committee Report. Last Accessed November 2023.</t>
  </si>
  <si>
    <t>AWTA (2023)</t>
  </si>
  <si>
    <t>Australian Wool Testing Authority (2023). AWTA Analytics. Key Test Data. Last Viewed October 2023.</t>
  </si>
  <si>
    <t>November 2023</t>
  </si>
  <si>
    <t>WA (2023)</t>
  </si>
  <si>
    <t xml:space="preserve">Wine Australia (2023). National Vintage Report, 2023. Last accessed October 2023. </t>
  </si>
  <si>
    <t>Australian Bureau of Agricultural and Resource Economics (2023). Australian Fisheries and Aquaculture Statistics 2021. Last Accessed October 2023. https://www.agriculture.gov.au/abares/research-topics/fisheries/fisheries-and-aquaculture-statistics</t>
  </si>
  <si>
    <t>NSW Department of Primary Industries (2023). Aquaculture Production Report 2021-22. Last accessed October 2023. &lt;https://www.dpi.nsw.gov.au/fishing/aquaculture/publications/aquaculture-production-reports&gt;</t>
  </si>
  <si>
    <t>DPI (2023d)</t>
  </si>
  <si>
    <t>ABS (2023b)</t>
  </si>
  <si>
    <t>Australian Bureau of Statistics (2023). 6401.0 Consumer Price Index, Australia, June 2023. Last accessed October 2023.</t>
  </si>
  <si>
    <t>Meat and Livestock Australia (2023). Market Information and Statistics Database Custom Report. Last accessed October 2023.</t>
  </si>
  <si>
    <t>ABS (2023C)</t>
  </si>
  <si>
    <t>Australian Bureau of Statistics (2023). 7121.0 Agricultural Commodities, Australia 2021-22. Last accessed October 2023.</t>
  </si>
  <si>
    <t>ASMC (2023)</t>
  </si>
  <si>
    <t>Australian Sugar Milling Council (2023). Sugar cane statistics. Last accessed October 2023.</t>
  </si>
  <si>
    <r>
      <rPr>
        <vertAlign val="superscript"/>
        <sz val="9"/>
        <color theme="1"/>
        <rFont val="Arial"/>
        <family val="2"/>
      </rPr>
      <t xml:space="preserve">w </t>
    </r>
    <r>
      <rPr>
        <sz val="9"/>
        <color theme="1"/>
        <rFont val="Arial"/>
        <family val="2"/>
      </rPr>
      <t>Data is wine grape crush data sourced from WA (2023a), which is separate to production data provided by the ABS</t>
    </r>
  </si>
  <si>
    <t>ABS (2023d)</t>
  </si>
  <si>
    <t>Australian Bureau of Statistics (2021). 7215.0 Livestock Products, Australia. Last accessed September 2023.</t>
  </si>
  <si>
    <t>Australian Bureau of Agricultural and Resource Economics and Sciences (2022). Agricultural Commodities, September 2022. Last accessed October 2023.</t>
  </si>
  <si>
    <t>ABARES (2022)</t>
  </si>
  <si>
    <t>AWI (2023b)</t>
  </si>
  <si>
    <t>AWI (2023a)</t>
  </si>
  <si>
    <t>Australian Wool Innovation Limited (2023). Australian Wool Innovation Annual Report. Last accessed November 2023.</t>
  </si>
  <si>
    <t>2022-23</t>
  </si>
  <si>
    <t>As at 30 June 2022</t>
  </si>
  <si>
    <t>Australian Bureau of Statistics (2023). 6291.0 Labour force, Australia - Detailed Quarterly, Sep 2023. Last accessed September 2023.</t>
  </si>
  <si>
    <t>Australian Bureau of Statistics (2022), Counts of Australian Businesses, including Entries and Exits. Last accessed September 2023 &lt;http://www.abs.gov.au/ausstats/abs@.nsf/mf/8165.0&gt;.</t>
  </si>
  <si>
    <r>
      <rPr>
        <vertAlign val="superscript"/>
        <sz val="9"/>
        <color theme="1"/>
        <rFont val="Arial"/>
        <family val="2"/>
      </rPr>
      <t xml:space="preserve">l </t>
    </r>
    <r>
      <rPr>
        <sz val="9"/>
        <color theme="1"/>
        <rFont val="Arial"/>
        <family val="2"/>
      </rPr>
      <t>DPI estimate calculated as average total employment over four quarters to May 2023 of labour force employment data by relevant to each industry. Relevant ANZSIC divisions are Agriculture, Forestry and Fishing (division A) and relevant sub divisions of Manufacturing (division C). Data was sourced from ABS (2023e)</t>
    </r>
  </si>
  <si>
    <t>ABS (2023e)</t>
  </si>
  <si>
    <t>ABS (2022)</t>
  </si>
  <si>
    <r>
      <rPr>
        <vertAlign val="superscript"/>
        <sz val="9"/>
        <color theme="1"/>
        <rFont val="Arial"/>
        <family val="2"/>
      </rPr>
      <t>m</t>
    </r>
    <r>
      <rPr>
        <sz val="9"/>
        <color theme="1"/>
        <rFont val="Arial"/>
        <family val="2"/>
      </rPr>
      <t xml:space="preserve"> DPI estimate using the same ANZSIC classifications in footnote l. Data is based on June 2022 using source ABS (2022)</t>
    </r>
  </si>
  <si>
    <r>
      <rPr>
        <vertAlign val="superscript"/>
        <sz val="9"/>
        <color theme="1"/>
        <rFont val="Arial"/>
        <family val="2"/>
      </rPr>
      <t xml:space="preserve">q </t>
    </r>
    <r>
      <rPr>
        <sz val="9"/>
        <color theme="1"/>
        <rFont val="Arial"/>
        <family val="2"/>
      </rPr>
      <t>Data for 2017-18 onward is sourced from Dairy Australia.</t>
    </r>
  </si>
  <si>
    <t>Production (wholemilk)</t>
  </si>
  <si>
    <t>DA (2023a)</t>
  </si>
  <si>
    <r>
      <t xml:space="preserve">Dairy Australia (2023), </t>
    </r>
    <r>
      <rPr>
        <i/>
        <sz val="9"/>
        <rFont val="Arial"/>
        <family val="2"/>
      </rPr>
      <t>NSW Milk Production Report July 2023,</t>
    </r>
    <r>
      <rPr>
        <sz val="9"/>
        <rFont val="Arial"/>
        <family val="2"/>
      </rPr>
      <t xml:space="preserve"> last accessed November 2023.</t>
    </r>
  </si>
  <si>
    <r>
      <t>Price (NSW milk)</t>
    </r>
    <r>
      <rPr>
        <vertAlign val="superscript"/>
        <sz val="9"/>
        <color theme="1"/>
        <rFont val="Arial"/>
        <family val="2"/>
      </rPr>
      <t>d</t>
    </r>
  </si>
  <si>
    <t>DA (2022b); ADPF (2023)</t>
  </si>
  <si>
    <r>
      <t xml:space="preserve">Dairy Australia (2022), </t>
    </r>
    <r>
      <rPr>
        <i/>
        <sz val="9"/>
        <rFont val="Arial"/>
        <family val="2"/>
      </rPr>
      <t>Farmgate Milk Price</t>
    </r>
    <r>
      <rPr>
        <sz val="9"/>
        <rFont val="Arial"/>
        <family val="2"/>
      </rPr>
      <t>, last accessed October 2022, &lt;https://www.dairyaustralia.com.au/industry/prices/farmgate-milk-price&gt;; Australian Dairy Products Federation (2023). Farmgate Milk Value Tool. Last accessed November 2023. &lt;https://milkvalue.com.au/milk-prices/farmgate-milk-value-tool/&gt;</t>
    </r>
  </si>
  <si>
    <r>
      <rPr>
        <vertAlign val="superscript"/>
        <sz val="9"/>
        <color theme="1"/>
        <rFont val="Arial"/>
        <family val="2"/>
      </rPr>
      <t xml:space="preserve">d </t>
    </r>
    <r>
      <rPr>
        <sz val="9"/>
        <color theme="1"/>
        <rFont val="Arial"/>
        <family val="2"/>
      </rPr>
      <t>2021-22 and 2022-23 data based on season average for a large NSW dairy farm.</t>
    </r>
  </si>
  <si>
    <t>Vietnam</t>
  </si>
  <si>
    <t>Indonesia</t>
  </si>
  <si>
    <t>Saudi Arabia</t>
  </si>
  <si>
    <t>Kuwait</t>
  </si>
  <si>
    <t>Argentina</t>
  </si>
  <si>
    <t>Taiwan</t>
  </si>
  <si>
    <t>Belgium</t>
  </si>
  <si>
    <t>United Arab Emirates</t>
  </si>
  <si>
    <t>Germany</t>
  </si>
  <si>
    <t>New Zealand</t>
  </si>
  <si>
    <t>Maldives</t>
  </si>
  <si>
    <t>Singapore</t>
  </si>
  <si>
    <t>Korea, South</t>
  </si>
  <si>
    <t>Trinidad &amp; Tobago</t>
  </si>
  <si>
    <t>Philippines</t>
  </si>
  <si>
    <t>Vanuatu</t>
  </si>
  <si>
    <t>Italy</t>
  </si>
  <si>
    <r>
      <t>Production (Oranges)</t>
    </r>
    <r>
      <rPr>
        <vertAlign val="superscript"/>
        <sz val="9"/>
        <color theme="1"/>
        <rFont val="Arial"/>
        <family val="2"/>
      </rPr>
      <t>p</t>
    </r>
  </si>
  <si>
    <r>
      <t>Production (Potatoes)</t>
    </r>
    <r>
      <rPr>
        <vertAlign val="superscript"/>
        <sz val="9"/>
        <color theme="1"/>
        <rFont val="Arial"/>
        <family val="2"/>
      </rPr>
      <t>p</t>
    </r>
  </si>
  <si>
    <r>
      <t>Production (Mushrooms)</t>
    </r>
    <r>
      <rPr>
        <vertAlign val="superscript"/>
        <sz val="9"/>
        <color theme="1"/>
        <rFont val="Arial"/>
        <family val="2"/>
      </rPr>
      <t>p</t>
    </r>
  </si>
  <si>
    <r>
      <t>Production (Melons)</t>
    </r>
    <r>
      <rPr>
        <vertAlign val="superscript"/>
        <sz val="9"/>
        <color theme="1"/>
        <rFont val="Arial"/>
        <family val="2"/>
      </rPr>
      <t>p</t>
    </r>
  </si>
  <si>
    <r>
      <t>Production (Almonds)</t>
    </r>
    <r>
      <rPr>
        <vertAlign val="superscript"/>
        <sz val="9"/>
        <color theme="1"/>
        <rFont val="Arial"/>
        <family val="2"/>
      </rPr>
      <t>p</t>
    </r>
  </si>
  <si>
    <r>
      <t>Grape Crush</t>
    </r>
    <r>
      <rPr>
        <vertAlign val="superscript"/>
        <sz val="9"/>
        <color theme="1"/>
        <rFont val="Arial"/>
        <family val="2"/>
      </rPr>
      <t>w</t>
    </r>
  </si>
  <si>
    <r>
      <t>2021-22</t>
    </r>
    <r>
      <rPr>
        <b/>
        <i/>
        <vertAlign val="superscript"/>
        <sz val="9"/>
        <color theme="1"/>
        <rFont val="Arial"/>
        <family val="2"/>
      </rPr>
      <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</si>
</sst>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8" formatCode="&quot;$&quot;#,##0.00;[Red]\-&quot;$&quot;#,##0.00"/>
    <numFmt numFmtId="43" formatCode="_-* #,##0.00_-;\-* #,##0.00_-;_-* &quot;-&quot;??_-;_-@_-"/>
    <numFmt numFmtId="164" formatCode="_-* #,##0_-;\-* #,##0_-;_-* &quot;-&quot;??_-;_-@_-"/>
    <numFmt numFmtId="165" formatCode="&quot;$&quot;#,##0.0;[Red]\-&quot;$&quot;#,##0.0"/>
    <numFmt numFmtId="166" formatCode="#,##0.0"/>
    <numFmt numFmtId="167" formatCode="0.0%"/>
    <numFmt numFmtId="168" formatCode="_-* #,##0.0_-;\-* #,##0.0_-;_-* &quot;-&quot;??_-;_-@_-"/>
    <numFmt numFmtId="169" formatCode="&quot;$&quot;#,##0.0"/>
    <numFmt numFmtId="170" formatCode="0.0"/>
  </numFmts>
  <fonts count="22" x14ac:knownFonts="1">
    <font>
      <sz val="11"/>
      <color theme="1"/>
      <name val="Calibri"/>
      <family val="2"/>
      <scheme val="minor"/>
    </font>
    <font>
      <sz val="11"/>
      <color theme="1"/>
      <name val="Calibri"/>
      <family val="2"/>
      <scheme val="minor"/>
    </font>
    <font>
      <u/>
      <sz val="11"/>
      <color theme="10"/>
      <name val="Calibri"/>
      <family val="2"/>
      <scheme val="minor"/>
    </font>
    <font>
      <b/>
      <sz val="10"/>
      <color theme="1"/>
      <name val="Arial"/>
      <family val="2"/>
    </font>
    <font>
      <sz val="10"/>
      <color theme="1"/>
      <name val="Arial"/>
      <family val="2"/>
    </font>
    <font>
      <u/>
      <sz val="10"/>
      <color theme="10"/>
      <name val="Arial"/>
      <family val="2"/>
    </font>
    <font>
      <b/>
      <i/>
      <sz val="9"/>
      <color theme="1"/>
      <name val="Arial"/>
      <family val="2"/>
    </font>
    <font>
      <b/>
      <i/>
      <vertAlign val="superscript"/>
      <sz val="9"/>
      <color theme="1"/>
      <name val="Arial"/>
      <family val="2"/>
    </font>
    <font>
      <i/>
      <sz val="9"/>
      <color theme="1"/>
      <name val="Arial"/>
      <family val="2"/>
    </font>
    <font>
      <b/>
      <sz val="9"/>
      <color theme="1"/>
      <name val="Arial"/>
      <family val="2"/>
    </font>
    <font>
      <sz val="9"/>
      <color theme="1"/>
      <name val="Arial"/>
      <family val="2"/>
    </font>
    <font>
      <vertAlign val="superscript"/>
      <sz val="9"/>
      <color theme="1"/>
      <name val="Arial"/>
      <family val="2"/>
    </font>
    <font>
      <b/>
      <sz val="9"/>
      <name val="Arial"/>
      <family val="2"/>
    </font>
    <font>
      <i/>
      <sz val="9"/>
      <name val="Arial"/>
      <family val="2"/>
    </font>
    <font>
      <i/>
      <vertAlign val="superscript"/>
      <sz val="9"/>
      <color theme="1"/>
      <name val="Arial"/>
      <family val="2"/>
    </font>
    <font>
      <b/>
      <vertAlign val="superscript"/>
      <sz val="9"/>
      <color theme="1"/>
      <name val="Arial"/>
      <family val="2"/>
    </font>
    <font>
      <b/>
      <i/>
      <sz val="9"/>
      <name val="Arial"/>
      <family val="2"/>
    </font>
    <font>
      <b/>
      <sz val="9"/>
      <color rgb="FFFF0000"/>
      <name val="Arial"/>
      <family val="2"/>
    </font>
    <font>
      <sz val="9"/>
      <name val="Arial"/>
      <family val="2"/>
    </font>
    <font>
      <b/>
      <sz val="11"/>
      <color theme="0"/>
      <name val="Arial"/>
      <family val="2"/>
    </font>
    <font>
      <b/>
      <sz val="9"/>
      <color theme="0"/>
      <name val="Arial"/>
      <family val="2"/>
    </font>
    <font>
      <sz val="9"/>
      <color rgb="FF00B050"/>
      <name val="Arial"/>
      <family val="2"/>
    </font>
  </fonts>
  <fills count="5">
    <fill>
      <patternFill patternType="none"/>
    </fill>
    <fill>
      <patternFill patternType="gray125"/>
    </fill>
    <fill>
      <patternFill patternType="solid">
        <fgColor theme="1" tint="0.34998626667073579"/>
        <bgColor indexed="64"/>
      </patternFill>
    </fill>
    <fill>
      <patternFill patternType="solid">
        <fgColor theme="4" tint="0.79998168889431442"/>
        <bgColor indexed="64"/>
      </patternFill>
    </fill>
    <fill>
      <patternFill patternType="solid">
        <fgColor rgb="FFD9E1F2"/>
        <bgColor indexed="64"/>
      </patternFill>
    </fill>
  </fills>
  <borders count="11">
    <border>
      <left/>
      <right/>
      <top/>
      <bottom/>
      <diagonal/>
    </border>
    <border>
      <left style="thin">
        <color theme="0"/>
      </left>
      <right style="thin">
        <color theme="0"/>
      </right>
      <top style="thin">
        <color theme="0"/>
      </top>
      <bottom style="thin">
        <color theme="0"/>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bottom/>
      <diagonal/>
    </border>
    <border>
      <left/>
      <right style="thin">
        <color indexed="64"/>
      </right>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165">
    <xf numFmtId="0" fontId="0" fillId="0" borderId="0" xfId="0"/>
    <xf numFmtId="0" fontId="3" fillId="0" borderId="1" xfId="0" applyFont="1" applyBorder="1"/>
    <xf numFmtId="0" fontId="4" fillId="0" borderId="1" xfId="0" applyFont="1" applyBorder="1"/>
    <xf numFmtId="49" fontId="4" fillId="0" borderId="1" xfId="0" applyNumberFormat="1" applyFont="1" applyBorder="1" applyAlignment="1">
      <alignment horizontal="left"/>
    </xf>
    <xf numFmtId="0" fontId="5" fillId="0" borderId="1" xfId="3" applyFont="1" applyBorder="1"/>
    <xf numFmtId="0" fontId="6" fillId="0" borderId="2" xfId="0" applyFont="1" applyBorder="1"/>
    <xf numFmtId="0" fontId="8" fillId="0" borderId="2" xfId="0" applyFont="1" applyBorder="1"/>
    <xf numFmtId="3" fontId="8" fillId="0" borderId="2" xfId="1" applyNumberFormat="1" applyFont="1" applyBorder="1"/>
    <xf numFmtId="164" fontId="8" fillId="0" borderId="2" xfId="1" applyNumberFormat="1" applyFont="1" applyBorder="1"/>
    <xf numFmtId="0" fontId="9" fillId="0" borderId="2" xfId="0" applyFont="1" applyBorder="1"/>
    <xf numFmtId="164" fontId="9" fillId="0" borderId="2" xfId="1" applyNumberFormat="1" applyFont="1" applyBorder="1"/>
    <xf numFmtId="0" fontId="10" fillId="0" borderId="2" xfId="0" applyFont="1" applyBorder="1"/>
    <xf numFmtId="0" fontId="10" fillId="0" borderId="10" xfId="0" applyFont="1" applyBorder="1"/>
    <xf numFmtId="0" fontId="10" fillId="0" borderId="0" xfId="0" applyFont="1"/>
    <xf numFmtId="164" fontId="10" fillId="0" borderId="0" xfId="0" applyNumberFormat="1" applyFont="1"/>
    <xf numFmtId="0" fontId="9" fillId="0" borderId="2" xfId="0" applyFont="1" applyBorder="1" applyAlignment="1">
      <alignment horizontal="left"/>
    </xf>
    <xf numFmtId="164" fontId="9" fillId="0" borderId="2" xfId="1" applyNumberFormat="1" applyFont="1" applyBorder="1" applyAlignment="1">
      <alignment horizontal="left" indent="3"/>
    </xf>
    <xf numFmtId="0" fontId="8" fillId="0" borderId="2" xfId="0" applyFont="1" applyBorder="1" applyAlignment="1">
      <alignment horizontal="left" indent="3"/>
    </xf>
    <xf numFmtId="0" fontId="9" fillId="0" borderId="2" xfId="0" applyFont="1" applyBorder="1" applyAlignment="1">
      <alignment horizontal="left" indent="1"/>
    </xf>
    <xf numFmtId="0" fontId="6" fillId="0" borderId="2" xfId="0" applyFont="1" applyBorder="1" applyAlignment="1">
      <alignment horizontal="right" wrapText="1"/>
    </xf>
    <xf numFmtId="164" fontId="9" fillId="0" borderId="2" xfId="0" applyNumberFormat="1" applyFont="1" applyBorder="1"/>
    <xf numFmtId="9" fontId="12" fillId="0" borderId="2" xfId="2" applyFont="1" applyBorder="1" applyAlignment="1">
      <alignment horizontal="right"/>
    </xf>
    <xf numFmtId="0" fontId="8" fillId="0" borderId="2" xfId="0" applyFont="1" applyBorder="1" applyAlignment="1">
      <alignment horizontal="left" indent="1"/>
    </xf>
    <xf numFmtId="9" fontId="13" fillId="0" borderId="2" xfId="2" applyFont="1" applyBorder="1" applyAlignment="1">
      <alignment horizontal="right"/>
    </xf>
    <xf numFmtId="3" fontId="13" fillId="0" borderId="2" xfId="2" applyNumberFormat="1" applyFont="1" applyBorder="1" applyAlignment="1">
      <alignment horizontal="right"/>
    </xf>
    <xf numFmtId="164" fontId="10" fillId="0" borderId="2" xfId="1" applyNumberFormat="1" applyFont="1" applyBorder="1"/>
    <xf numFmtId="0" fontId="16" fillId="0" borderId="0" xfId="0" applyFont="1"/>
    <xf numFmtId="0" fontId="8" fillId="0" borderId="0" xfId="0" applyFont="1"/>
    <xf numFmtId="0" fontId="8" fillId="0" borderId="0" xfId="0" applyFont="1" applyAlignment="1">
      <alignment horizontal="right"/>
    </xf>
    <xf numFmtId="0" fontId="10" fillId="0" borderId="0" xfId="0" applyFont="1" applyAlignment="1">
      <alignment horizontal="right"/>
    </xf>
    <xf numFmtId="165" fontId="9" fillId="0" borderId="2" xfId="0" applyNumberFormat="1" applyFont="1" applyBorder="1"/>
    <xf numFmtId="165" fontId="12" fillId="0" borderId="2" xfId="2" applyNumberFormat="1" applyFont="1" applyBorder="1" applyAlignment="1">
      <alignment horizontal="right"/>
    </xf>
    <xf numFmtId="165" fontId="8" fillId="0" borderId="2" xfId="1" applyNumberFormat="1" applyFont="1" applyBorder="1"/>
    <xf numFmtId="165" fontId="9" fillId="0" borderId="2" xfId="1" applyNumberFormat="1" applyFont="1" applyBorder="1"/>
    <xf numFmtId="165" fontId="12" fillId="0" borderId="2" xfId="1" applyNumberFormat="1" applyFont="1" applyBorder="1"/>
    <xf numFmtId="165" fontId="12" fillId="0" borderId="2" xfId="0" applyNumberFormat="1" applyFont="1" applyBorder="1"/>
    <xf numFmtId="165" fontId="13" fillId="0" borderId="2" xfId="2" applyNumberFormat="1" applyFont="1" applyBorder="1" applyAlignment="1">
      <alignment horizontal="right"/>
    </xf>
    <xf numFmtId="0" fontId="8" fillId="0" borderId="2" xfId="0" applyFont="1" applyBorder="1" applyAlignment="1">
      <alignment horizontal="right" indent="1"/>
    </xf>
    <xf numFmtId="168" fontId="8" fillId="0" borderId="2" xfId="1" applyNumberFormat="1" applyFont="1" applyBorder="1"/>
    <xf numFmtId="6" fontId="8" fillId="0" borderId="2" xfId="0" applyNumberFormat="1" applyFont="1" applyBorder="1" applyAlignment="1">
      <alignment horizontal="right" indent="1"/>
    </xf>
    <xf numFmtId="0" fontId="6" fillId="0" borderId="2" xfId="0" applyFont="1" applyBorder="1" applyAlignment="1">
      <alignment wrapText="1"/>
    </xf>
    <xf numFmtId="164" fontId="17" fillId="0" borderId="2" xfId="0" applyNumberFormat="1" applyFont="1" applyBorder="1"/>
    <xf numFmtId="9" fontId="17" fillId="0" borderId="2" xfId="2" applyFont="1" applyBorder="1"/>
    <xf numFmtId="165" fontId="10" fillId="0" borderId="2" xfId="1" applyNumberFormat="1" applyFont="1" applyBorder="1"/>
    <xf numFmtId="9" fontId="18" fillId="0" borderId="2" xfId="2" applyFont="1" applyBorder="1"/>
    <xf numFmtId="165" fontId="18" fillId="0" borderId="2" xfId="2" applyNumberFormat="1" applyFont="1" applyBorder="1"/>
    <xf numFmtId="9" fontId="9" fillId="0" borderId="2" xfId="2" applyFont="1" applyBorder="1"/>
    <xf numFmtId="3" fontId="9" fillId="0" borderId="2" xfId="2" applyNumberFormat="1" applyFont="1" applyBorder="1"/>
    <xf numFmtId="168" fontId="10" fillId="0" borderId="2" xfId="1" applyNumberFormat="1" applyFont="1" applyBorder="1"/>
    <xf numFmtId="9" fontId="10" fillId="0" borderId="2" xfId="2" applyFont="1" applyBorder="1"/>
    <xf numFmtId="168" fontId="10" fillId="0" borderId="2" xfId="2" applyNumberFormat="1" applyFont="1" applyBorder="1"/>
    <xf numFmtId="9" fontId="10" fillId="0" borderId="2" xfId="1" applyNumberFormat="1" applyFont="1" applyBorder="1"/>
    <xf numFmtId="0" fontId="10" fillId="3" borderId="5" xfId="0" applyFont="1" applyFill="1" applyBorder="1" applyAlignment="1">
      <alignment horizontal="left" indent="1"/>
    </xf>
    <xf numFmtId="166" fontId="10" fillId="0" borderId="2" xfId="1" applyNumberFormat="1" applyFont="1" applyBorder="1"/>
    <xf numFmtId="0" fontId="8" fillId="3" borderId="4" xfId="0" applyFont="1" applyFill="1" applyBorder="1"/>
    <xf numFmtId="165" fontId="10" fillId="0" borderId="2" xfId="2" applyNumberFormat="1" applyFont="1" applyBorder="1"/>
    <xf numFmtId="166" fontId="10" fillId="0" borderId="2" xfId="2" applyNumberFormat="1" applyFont="1" applyBorder="1"/>
    <xf numFmtId="164" fontId="17" fillId="0" borderId="2" xfId="0" applyNumberFormat="1" applyFont="1" applyBorder="1" applyAlignment="1">
      <alignment horizontal="right"/>
    </xf>
    <xf numFmtId="9" fontId="17" fillId="0" borderId="2" xfId="2" applyFont="1" applyBorder="1" applyAlignment="1">
      <alignment horizontal="right"/>
    </xf>
    <xf numFmtId="164" fontId="8" fillId="0" borderId="2" xfId="1" applyNumberFormat="1" applyFont="1" applyBorder="1" applyAlignment="1">
      <alignment horizontal="right"/>
    </xf>
    <xf numFmtId="9" fontId="8" fillId="0" borderId="2" xfId="1" applyNumberFormat="1" applyFont="1" applyBorder="1" applyAlignment="1">
      <alignment horizontal="right"/>
    </xf>
    <xf numFmtId="164" fontId="12" fillId="0" borderId="2" xfId="1" applyNumberFormat="1" applyFont="1" applyBorder="1" applyAlignment="1">
      <alignment horizontal="right"/>
    </xf>
    <xf numFmtId="164" fontId="17" fillId="0" borderId="2" xfId="1" applyNumberFormat="1" applyFont="1" applyBorder="1" applyAlignment="1">
      <alignment horizontal="right"/>
    </xf>
    <xf numFmtId="164" fontId="13" fillId="0" borderId="2" xfId="1" applyNumberFormat="1" applyFont="1" applyBorder="1" applyAlignment="1">
      <alignment horizontal="right"/>
    </xf>
    <xf numFmtId="166" fontId="8" fillId="0" borderId="2" xfId="1" applyNumberFormat="1" applyFont="1" applyBorder="1"/>
    <xf numFmtId="164" fontId="13" fillId="0" borderId="2" xfId="1" applyNumberFormat="1" applyFont="1" applyBorder="1"/>
    <xf numFmtId="165" fontId="9" fillId="0" borderId="2" xfId="0" applyNumberFormat="1" applyFont="1" applyBorder="1" applyAlignment="1">
      <alignment horizontal="right"/>
    </xf>
    <xf numFmtId="9" fontId="9" fillId="0" borderId="2" xfId="0" applyNumberFormat="1" applyFont="1" applyBorder="1" applyAlignment="1">
      <alignment horizontal="right"/>
    </xf>
    <xf numFmtId="4" fontId="9" fillId="0" borderId="2" xfId="0" applyNumberFormat="1" applyFont="1" applyBorder="1" applyAlignment="1">
      <alignment horizontal="right"/>
    </xf>
    <xf numFmtId="165" fontId="10" fillId="0" borderId="0" xfId="0" applyNumberFormat="1" applyFont="1"/>
    <xf numFmtId="0" fontId="9" fillId="0" borderId="2" xfId="0" applyFont="1" applyBorder="1" applyAlignment="1">
      <alignment horizontal="center"/>
    </xf>
    <xf numFmtId="0" fontId="8" fillId="0" borderId="2" xfId="0" applyFont="1" applyBorder="1" applyAlignment="1">
      <alignment horizontal="center"/>
    </xf>
    <xf numFmtId="165" fontId="10" fillId="0" borderId="2" xfId="0" applyNumberFormat="1" applyFont="1" applyBorder="1" applyAlignment="1">
      <alignment horizontal="right"/>
    </xf>
    <xf numFmtId="9" fontId="10" fillId="0" borderId="2" xfId="0" applyNumberFormat="1" applyFont="1" applyBorder="1" applyAlignment="1">
      <alignment horizontal="right"/>
    </xf>
    <xf numFmtId="4" fontId="10" fillId="0" borderId="2" xfId="0" applyNumberFormat="1" applyFont="1" applyBorder="1" applyAlignment="1">
      <alignment horizontal="right"/>
    </xf>
    <xf numFmtId="0" fontId="10" fillId="3" borderId="5" xfId="0" applyFont="1" applyFill="1" applyBorder="1"/>
    <xf numFmtId="0" fontId="10" fillId="3" borderId="0" xfId="0" applyFont="1" applyFill="1"/>
    <xf numFmtId="0" fontId="10" fillId="3" borderId="6" xfId="0" applyFont="1" applyFill="1" applyBorder="1"/>
    <xf numFmtId="165" fontId="10" fillId="4" borderId="0" xfId="0" applyNumberFormat="1" applyFont="1" applyFill="1"/>
    <xf numFmtId="9" fontId="18" fillId="4" borderId="0" xfId="2" applyFont="1" applyFill="1" applyAlignment="1">
      <alignment horizontal="right"/>
    </xf>
    <xf numFmtId="164" fontId="18" fillId="4" borderId="0" xfId="1" applyNumberFormat="1" applyFont="1" applyFill="1" applyAlignment="1"/>
    <xf numFmtId="0" fontId="10" fillId="4" borderId="0" xfId="0" applyFont="1" applyFill="1"/>
    <xf numFmtId="0" fontId="10" fillId="4" borderId="4" xfId="0" applyFont="1" applyFill="1" applyBorder="1"/>
    <xf numFmtId="0" fontId="10" fillId="3" borderId="6" xfId="0" quotePrefix="1" applyFont="1" applyFill="1" applyBorder="1"/>
    <xf numFmtId="4" fontId="10" fillId="4" borderId="0" xfId="0" applyNumberFormat="1" applyFont="1" applyFill="1"/>
    <xf numFmtId="166" fontId="10" fillId="4" borderId="0" xfId="0" applyNumberFormat="1" applyFont="1" applyFill="1"/>
    <xf numFmtId="0" fontId="10" fillId="3" borderId="0" xfId="0" applyFont="1" applyFill="1" applyAlignment="1">
      <alignment horizontal="left"/>
    </xf>
    <xf numFmtId="0" fontId="10" fillId="4" borderId="0" xfId="0" applyFont="1" applyFill="1" applyAlignment="1"/>
    <xf numFmtId="0" fontId="18" fillId="3" borderId="0" xfId="0" applyFont="1" applyFill="1" applyAlignment="1">
      <alignment horizontal="left"/>
    </xf>
    <xf numFmtId="0" fontId="10" fillId="3" borderId="7" xfId="0" applyFont="1" applyFill="1" applyBorder="1"/>
    <xf numFmtId="0" fontId="10" fillId="3" borderId="8" xfId="0" applyFont="1" applyFill="1" applyBorder="1" applyAlignment="1">
      <alignment horizontal="left"/>
    </xf>
    <xf numFmtId="0" fontId="10" fillId="3" borderId="9" xfId="0" applyFont="1" applyFill="1" applyBorder="1"/>
    <xf numFmtId="8" fontId="10" fillId="4" borderId="0" xfId="0" applyNumberFormat="1" applyFont="1" applyFill="1"/>
    <xf numFmtId="9" fontId="18" fillId="3" borderId="0" xfId="2" applyFont="1" applyFill="1" applyAlignment="1">
      <alignment horizontal="right"/>
    </xf>
    <xf numFmtId="164" fontId="18" fillId="3" borderId="0" xfId="1" applyNumberFormat="1" applyFont="1" applyFill="1" applyAlignment="1"/>
    <xf numFmtId="0" fontId="10" fillId="3" borderId="0" xfId="0" applyFont="1" applyFill="1" applyAlignment="1"/>
    <xf numFmtId="0" fontId="18" fillId="3" borderId="4" xfId="0" applyFont="1" applyFill="1" applyBorder="1"/>
    <xf numFmtId="0" fontId="10" fillId="3" borderId="4" xfId="0" applyFont="1" applyFill="1" applyBorder="1" applyAlignment="1"/>
    <xf numFmtId="0" fontId="10" fillId="3" borderId="3" xfId="0" applyFont="1" applyFill="1" applyBorder="1"/>
    <xf numFmtId="0" fontId="10" fillId="3" borderId="4" xfId="0" applyFont="1" applyFill="1" applyBorder="1"/>
    <xf numFmtId="0" fontId="10" fillId="3" borderId="4" xfId="0" quotePrefix="1" applyFont="1" applyFill="1" applyBorder="1"/>
    <xf numFmtId="167" fontId="10" fillId="4" borderId="0" xfId="0" applyNumberFormat="1" applyFont="1" applyFill="1"/>
    <xf numFmtId="0" fontId="18" fillId="4" borderId="4" xfId="0" applyFont="1" applyFill="1" applyBorder="1" applyAlignment="1"/>
    <xf numFmtId="0" fontId="18" fillId="4" borderId="0" xfId="0" applyFont="1" applyFill="1"/>
    <xf numFmtId="0" fontId="18" fillId="4" borderId="4" xfId="0" applyFont="1" applyFill="1" applyBorder="1"/>
    <xf numFmtId="9" fontId="10" fillId="4" borderId="0" xfId="0" applyNumberFormat="1" applyFont="1" applyFill="1"/>
    <xf numFmtId="3" fontId="10" fillId="4" borderId="0" xfId="0" applyNumberFormat="1" applyFont="1" applyFill="1"/>
    <xf numFmtId="0" fontId="18" fillId="3" borderId="0" xfId="0" applyFont="1" applyFill="1" applyAlignment="1"/>
    <xf numFmtId="166" fontId="18" fillId="4" borderId="0" xfId="1" applyNumberFormat="1" applyFont="1" applyFill="1" applyAlignment="1">
      <alignment horizontal="right"/>
    </xf>
    <xf numFmtId="168" fontId="18" fillId="4" borderId="0" xfId="1" applyNumberFormat="1" applyFont="1" applyFill="1" applyAlignment="1">
      <alignment horizontal="right"/>
    </xf>
    <xf numFmtId="6" fontId="10" fillId="4" borderId="0" xfId="0" applyNumberFormat="1" applyFont="1" applyFill="1"/>
    <xf numFmtId="0" fontId="10" fillId="3" borderId="3" xfId="0" applyFont="1" applyFill="1" applyBorder="1" applyAlignment="1">
      <alignment horizontal="left"/>
    </xf>
    <xf numFmtId="6" fontId="18" fillId="3" borderId="0" xfId="0" applyNumberFormat="1" applyFont="1" applyFill="1" applyAlignment="1">
      <alignment horizontal="left"/>
    </xf>
    <xf numFmtId="165" fontId="10" fillId="3" borderId="0" xfId="0" applyNumberFormat="1" applyFont="1" applyFill="1"/>
    <xf numFmtId="3" fontId="10" fillId="3" borderId="0" xfId="0" applyNumberFormat="1" applyFont="1" applyFill="1"/>
    <xf numFmtId="166" fontId="10" fillId="3" borderId="0" xfId="0" applyNumberFormat="1" applyFont="1" applyFill="1"/>
    <xf numFmtId="4" fontId="18" fillId="3" borderId="0" xfId="1" applyNumberFormat="1" applyFont="1" applyFill="1" applyAlignment="1"/>
    <xf numFmtId="6" fontId="10" fillId="3" borderId="0" xfId="0" applyNumberFormat="1" applyFont="1" applyFill="1"/>
    <xf numFmtId="0" fontId="20" fillId="2" borderId="3" xfId="0" applyFont="1" applyFill="1" applyBorder="1"/>
    <xf numFmtId="0" fontId="20" fillId="2" borderId="0" xfId="0" applyFont="1" applyFill="1" applyBorder="1"/>
    <xf numFmtId="0" fontId="20" fillId="2" borderId="4" xfId="0" applyFont="1" applyFill="1" applyBorder="1"/>
    <xf numFmtId="9" fontId="20" fillId="2" borderId="0" xfId="2" applyFont="1" applyFill="1" applyBorder="1" applyAlignment="1"/>
    <xf numFmtId="0" fontId="20" fillId="2" borderId="0" xfId="0" applyFont="1" applyFill="1" applyBorder="1" applyAlignment="1"/>
    <xf numFmtId="0" fontId="20" fillId="2" borderId="4" xfId="0" applyFont="1" applyFill="1" applyBorder="1" applyAlignment="1"/>
    <xf numFmtId="0" fontId="19" fillId="2" borderId="0" xfId="0" applyFont="1" applyFill="1" applyBorder="1"/>
    <xf numFmtId="0" fontId="20" fillId="2" borderId="5" xfId="0" applyFont="1" applyFill="1" applyBorder="1"/>
    <xf numFmtId="0" fontId="20" fillId="2" borderId="6" xfId="0" applyFont="1" applyFill="1" applyBorder="1"/>
    <xf numFmtId="0" fontId="20" fillId="2" borderId="0" xfId="0" applyFont="1" applyFill="1" applyBorder="1" applyAlignment="1">
      <alignment wrapText="1"/>
    </xf>
    <xf numFmtId="9" fontId="20" fillId="2" borderId="0" xfId="2" applyFont="1" applyFill="1" applyBorder="1" applyAlignment="1">
      <alignment wrapText="1"/>
    </xf>
    <xf numFmtId="0" fontId="6" fillId="0" borderId="0" xfId="0" applyFont="1" applyAlignment="1">
      <alignment horizontal="right"/>
    </xf>
    <xf numFmtId="164" fontId="8" fillId="0" borderId="2" xfId="1" applyNumberFormat="1" applyFont="1" applyBorder="1" applyAlignment="1">
      <alignment horizontal="left"/>
    </xf>
    <xf numFmtId="164" fontId="17" fillId="0" borderId="2" xfId="1" applyNumberFormat="1" applyFont="1" applyBorder="1" applyAlignment="1">
      <alignment horizontal="left"/>
    </xf>
    <xf numFmtId="164" fontId="13" fillId="0" borderId="2" xfId="1" applyNumberFormat="1" applyFont="1" applyBorder="1" applyAlignment="1">
      <alignment horizontal="left"/>
    </xf>
    <xf numFmtId="166" fontId="8" fillId="0" borderId="2" xfId="1" applyNumberFormat="1" applyFont="1" applyBorder="1" applyAlignment="1">
      <alignment horizontal="left"/>
    </xf>
    <xf numFmtId="0" fontId="8" fillId="0" borderId="2" xfId="0" applyFont="1" applyFill="1" applyBorder="1" applyAlignment="1">
      <alignment horizontal="left" indent="1"/>
    </xf>
    <xf numFmtId="9" fontId="12" fillId="0" borderId="2" xfId="2" applyNumberFormat="1" applyFont="1" applyBorder="1" applyAlignment="1">
      <alignment horizontal="right"/>
    </xf>
    <xf numFmtId="9" fontId="8" fillId="0" borderId="2" xfId="1" applyNumberFormat="1" applyFont="1" applyBorder="1"/>
    <xf numFmtId="169" fontId="12" fillId="0" borderId="2" xfId="0" applyNumberFormat="1" applyFont="1" applyBorder="1"/>
    <xf numFmtId="169" fontId="12" fillId="0" borderId="2" xfId="2" applyNumberFormat="1" applyFont="1" applyBorder="1" applyAlignment="1">
      <alignment horizontal="right"/>
    </xf>
    <xf numFmtId="169" fontId="13" fillId="0" borderId="2" xfId="1" applyNumberFormat="1" applyFont="1" applyBorder="1"/>
    <xf numFmtId="169" fontId="12" fillId="0" borderId="2" xfId="1" applyNumberFormat="1" applyFont="1" applyBorder="1"/>
    <xf numFmtId="0" fontId="10" fillId="0" borderId="0" xfId="0" applyFont="1" applyFill="1"/>
    <xf numFmtId="9" fontId="13" fillId="0" borderId="2" xfId="1" applyNumberFormat="1" applyFont="1" applyBorder="1" applyAlignment="1">
      <alignment horizontal="right"/>
    </xf>
    <xf numFmtId="3" fontId="12" fillId="0" borderId="2" xfId="2" applyNumberFormat="1" applyFont="1" applyBorder="1" applyAlignment="1">
      <alignment horizontal="right"/>
    </xf>
    <xf numFmtId="0" fontId="13" fillId="0" borderId="0" xfId="0" applyFont="1" applyAlignment="1">
      <alignment horizontal="right"/>
    </xf>
    <xf numFmtId="0" fontId="18" fillId="0" borderId="0" xfId="0" applyFont="1" applyAlignment="1">
      <alignment horizontal="right"/>
    </xf>
    <xf numFmtId="4" fontId="8" fillId="0" borderId="2" xfId="1" applyNumberFormat="1" applyFont="1" applyBorder="1"/>
    <xf numFmtId="166" fontId="8" fillId="0" borderId="2" xfId="1" applyNumberFormat="1" applyFont="1" applyBorder="1" applyAlignment="1">
      <alignment horizontal="right"/>
    </xf>
    <xf numFmtId="9" fontId="13" fillId="0" borderId="2" xfId="1" applyNumberFormat="1" applyFont="1" applyBorder="1"/>
    <xf numFmtId="0" fontId="0" fillId="0" borderId="0" xfId="0" applyFill="1"/>
    <xf numFmtId="0" fontId="6" fillId="0" borderId="2" xfId="0" applyFont="1" applyBorder="1" applyAlignment="1">
      <alignment horizontal="right"/>
    </xf>
    <xf numFmtId="166" fontId="10" fillId="4" borderId="0" xfId="0" applyNumberFormat="1" applyFont="1" applyFill="1" applyAlignment="1">
      <alignment horizontal="right"/>
    </xf>
    <xf numFmtId="9" fontId="3" fillId="0" borderId="1" xfId="2" applyFont="1" applyBorder="1"/>
    <xf numFmtId="6" fontId="10" fillId="3" borderId="0" xfId="0" applyNumberFormat="1" applyFont="1" applyFill="1" applyAlignment="1">
      <alignment horizontal="left"/>
    </xf>
    <xf numFmtId="43" fontId="10" fillId="4" borderId="0" xfId="0" applyNumberFormat="1" applyFont="1" applyFill="1"/>
    <xf numFmtId="167" fontId="18" fillId="4" borderId="0" xfId="2" applyNumberFormat="1" applyFont="1" applyFill="1" applyAlignment="1">
      <alignment horizontal="right"/>
    </xf>
    <xf numFmtId="170" fontId="10" fillId="4" borderId="0" xfId="0" applyNumberFormat="1" applyFont="1" applyFill="1"/>
    <xf numFmtId="165" fontId="21" fillId="0" borderId="2" xfId="0" applyNumberFormat="1" applyFont="1" applyBorder="1" applyAlignment="1">
      <alignment horizontal="right"/>
    </xf>
    <xf numFmtId="9" fontId="21" fillId="0" borderId="2" xfId="0" applyNumberFormat="1" applyFont="1" applyBorder="1" applyAlignment="1">
      <alignment horizontal="right"/>
    </xf>
    <xf numFmtId="4" fontId="21" fillId="0" borderId="2" xfId="0" applyNumberFormat="1" applyFont="1" applyBorder="1" applyAlignment="1">
      <alignment horizontal="right"/>
    </xf>
    <xf numFmtId="0" fontId="10" fillId="3" borderId="3" xfId="0" applyFont="1" applyFill="1" applyBorder="1" applyAlignment="1">
      <alignment horizontal="left" vertical="center"/>
    </xf>
    <xf numFmtId="0" fontId="10" fillId="3" borderId="3" xfId="0" applyFont="1" applyFill="1" applyBorder="1" applyAlignment="1">
      <alignment horizontal="left" vertical="center" wrapText="1"/>
    </xf>
    <xf numFmtId="0" fontId="10" fillId="3" borderId="3"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5" xfId="0" applyFont="1" applyFill="1" applyBorder="1" applyAlignment="1">
      <alignment horizontal="left" vertical="center"/>
    </xf>
  </cellXfs>
  <cellStyles count="4">
    <cellStyle name="Comma" xfId="1" builtinId="3"/>
    <cellStyle name="Hyperlink" xfId="3" builtinId="8"/>
    <cellStyle name="Normal" xfId="0" builtinId="0"/>
    <cellStyle name="Percent" xfId="2" builtinId="5"/>
  </cellStyles>
  <dxfs count="81">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3C504-E998-45D8-B435-B2203783E307}">
  <sheetPr codeName="Sheet1"/>
  <dimension ref="A1:B37"/>
  <sheetViews>
    <sheetView tabSelected="1" workbookViewId="0">
      <selection activeCell="N20" sqref="N20"/>
    </sheetView>
  </sheetViews>
  <sheetFormatPr defaultRowHeight="15" x14ac:dyDescent="0.25"/>
  <cols>
    <col min="1" max="1" width="14.28515625" bestFit="1" customWidth="1"/>
    <col min="2" max="2" width="67.140625" bestFit="1" customWidth="1"/>
  </cols>
  <sheetData>
    <row r="1" spans="1:2" x14ac:dyDescent="0.25">
      <c r="A1" s="152" t="s">
        <v>0</v>
      </c>
      <c r="B1" s="1" t="s">
        <v>343</v>
      </c>
    </row>
    <row r="2" spans="1:2" x14ac:dyDescent="0.25">
      <c r="A2" s="2"/>
      <c r="B2" s="2"/>
    </row>
    <row r="3" spans="1:2" x14ac:dyDescent="0.25">
      <c r="A3" s="2" t="s">
        <v>1</v>
      </c>
      <c r="B3" s="2" t="s">
        <v>2</v>
      </c>
    </row>
    <row r="4" spans="1:2" x14ac:dyDescent="0.25">
      <c r="A4" s="2"/>
      <c r="B4" s="2"/>
    </row>
    <row r="5" spans="1:2" x14ac:dyDescent="0.25">
      <c r="A5" s="2" t="s">
        <v>3</v>
      </c>
      <c r="B5" s="2" t="s">
        <v>4</v>
      </c>
    </row>
    <row r="6" spans="1:2" x14ac:dyDescent="0.25">
      <c r="A6" s="2"/>
      <c r="B6" s="2"/>
    </row>
    <row r="7" spans="1:2" x14ac:dyDescent="0.25">
      <c r="A7" s="2" t="s">
        <v>5</v>
      </c>
      <c r="B7" s="3" t="s">
        <v>368</v>
      </c>
    </row>
    <row r="8" spans="1:2" x14ac:dyDescent="0.25">
      <c r="A8" s="2"/>
      <c r="B8" s="2"/>
    </row>
    <row r="9" spans="1:2" x14ac:dyDescent="0.25">
      <c r="A9" s="2" t="s">
        <v>6</v>
      </c>
      <c r="B9" s="4" t="s">
        <v>7</v>
      </c>
    </row>
    <row r="10" spans="1:2" x14ac:dyDescent="0.25">
      <c r="A10" s="2"/>
      <c r="B10" s="4" t="s">
        <v>8</v>
      </c>
    </row>
    <row r="11" spans="1:2" x14ac:dyDescent="0.25">
      <c r="A11" s="2"/>
      <c r="B11" s="4" t="s">
        <v>9</v>
      </c>
    </row>
    <row r="12" spans="1:2" x14ac:dyDescent="0.25">
      <c r="A12" s="2"/>
      <c r="B12" s="4" t="s">
        <v>66</v>
      </c>
    </row>
    <row r="13" spans="1:2" x14ac:dyDescent="0.25">
      <c r="A13" s="2"/>
      <c r="B13" s="4" t="s">
        <v>10</v>
      </c>
    </row>
    <row r="14" spans="1:2" x14ac:dyDescent="0.25">
      <c r="A14" s="2"/>
      <c r="B14" s="4" t="s">
        <v>11</v>
      </c>
    </row>
    <row r="15" spans="1:2" x14ac:dyDescent="0.25">
      <c r="A15" s="2"/>
      <c r="B15" s="4" t="s">
        <v>12</v>
      </c>
    </row>
    <row r="16" spans="1:2" x14ac:dyDescent="0.25">
      <c r="A16" s="2"/>
      <c r="B16" s="4" t="s">
        <v>68</v>
      </c>
    </row>
    <row r="17" spans="1:2" x14ac:dyDescent="0.25">
      <c r="A17" s="2"/>
      <c r="B17" s="4" t="s">
        <v>14</v>
      </c>
    </row>
    <row r="18" spans="1:2" x14ac:dyDescent="0.25">
      <c r="A18" s="2"/>
      <c r="B18" s="4" t="s">
        <v>15</v>
      </c>
    </row>
    <row r="19" spans="1:2" x14ac:dyDescent="0.25">
      <c r="A19" s="2"/>
      <c r="B19" s="4" t="s">
        <v>16</v>
      </c>
    </row>
    <row r="20" spans="1:2" x14ac:dyDescent="0.25">
      <c r="A20" s="2"/>
      <c r="B20" s="4" t="s">
        <v>212</v>
      </c>
    </row>
    <row r="21" spans="1:2" x14ac:dyDescent="0.25">
      <c r="A21" s="2"/>
      <c r="B21" s="4" t="s">
        <v>213</v>
      </c>
    </row>
    <row r="22" spans="1:2" x14ac:dyDescent="0.25">
      <c r="A22" s="2"/>
      <c r="B22" s="4" t="s">
        <v>17</v>
      </c>
    </row>
    <row r="23" spans="1:2" x14ac:dyDescent="0.25">
      <c r="A23" s="2"/>
      <c r="B23" s="4" t="s">
        <v>18</v>
      </c>
    </row>
    <row r="24" spans="1:2" x14ac:dyDescent="0.25">
      <c r="A24" s="2"/>
      <c r="B24" s="4" t="s">
        <v>19</v>
      </c>
    </row>
    <row r="25" spans="1:2" x14ac:dyDescent="0.25">
      <c r="A25" s="2"/>
      <c r="B25" s="4" t="s">
        <v>20</v>
      </c>
    </row>
    <row r="26" spans="1:2" x14ac:dyDescent="0.25">
      <c r="A26" s="2"/>
      <c r="B26" s="4" t="s">
        <v>21</v>
      </c>
    </row>
    <row r="27" spans="1:2" x14ac:dyDescent="0.25">
      <c r="A27" s="2"/>
      <c r="B27" s="4" t="s">
        <v>22</v>
      </c>
    </row>
    <row r="28" spans="1:2" x14ac:dyDescent="0.25">
      <c r="A28" s="2"/>
      <c r="B28" s="4" t="s">
        <v>23</v>
      </c>
    </row>
    <row r="29" spans="1:2" x14ac:dyDescent="0.25">
      <c r="A29" s="2"/>
      <c r="B29" s="4" t="s">
        <v>30</v>
      </c>
    </row>
    <row r="30" spans="1:2" x14ac:dyDescent="0.25">
      <c r="A30" s="2"/>
      <c r="B30" s="4" t="s">
        <v>24</v>
      </c>
    </row>
    <row r="31" spans="1:2" x14ac:dyDescent="0.25">
      <c r="A31" s="2"/>
      <c r="B31" s="4" t="s">
        <v>25</v>
      </c>
    </row>
    <row r="32" spans="1:2" x14ac:dyDescent="0.25">
      <c r="A32" s="2"/>
      <c r="B32" s="4" t="s">
        <v>26</v>
      </c>
    </row>
    <row r="33" spans="1:2" x14ac:dyDescent="0.25">
      <c r="A33" s="2"/>
      <c r="B33" s="4" t="s">
        <v>27</v>
      </c>
    </row>
    <row r="34" spans="1:2" x14ac:dyDescent="0.25">
      <c r="A34" s="2"/>
      <c r="B34" s="4" t="s">
        <v>28</v>
      </c>
    </row>
    <row r="35" spans="1:2" x14ac:dyDescent="0.25">
      <c r="A35" s="2"/>
      <c r="B35" s="4" t="s">
        <v>29</v>
      </c>
    </row>
    <row r="36" spans="1:2" x14ac:dyDescent="0.25">
      <c r="A36" s="2"/>
    </row>
    <row r="37" spans="1:2" x14ac:dyDescent="0.25">
      <c r="A37" s="2"/>
      <c r="B37" s="4"/>
    </row>
  </sheetData>
  <hyperlinks>
    <hyperlink ref="B9" location="Wheat!A1" display="Wheat" xr:uid="{55EFE7D3-A901-4763-BDC7-AE903B876615}"/>
    <hyperlink ref="B10" location="Barley!A1" display="Barley" xr:uid="{4BA0C2FB-091E-44BE-9CEE-36CCA3F8BEB1}"/>
    <hyperlink ref="B11" location="Rice!A1" display="Rice" xr:uid="{C16F1337-AFE4-49C1-BA01-F75BB3C80BB9}"/>
    <hyperlink ref="B12" location="'Coarse Grains'!A1" display="Coarse Grains" xr:uid="{27D876B7-71DC-4FAB-B075-3C0DDE84DECE}"/>
    <hyperlink ref="B13" location="Pulses!A1" display="Pulses" xr:uid="{1AB23DD4-C230-464B-B8D5-2A34352D0FAC}"/>
    <hyperlink ref="B14" location="Oilseeds!A1" display="Oilseeds" xr:uid="{87AB2481-4F58-484B-BAF1-5289B9069505}"/>
    <hyperlink ref="B15" location="'Cotton Lint'!A1" display="Cotton Lint" xr:uid="{F467AB02-C07D-43D5-BDDF-A5DDE76CED63}"/>
    <hyperlink ref="B16" location="Sugarcane!A1" display="Sugarcane" xr:uid="{93FAE144-9A30-4CE0-928F-F614963EFFA0}"/>
    <hyperlink ref="B17" location="Horticulture!A1" display="Horticulture" xr:uid="{391E5DDE-564A-458F-80B6-DC7817256109}"/>
    <hyperlink ref="B18" location="Wine!A1" display="Wine" xr:uid="{50394C79-B52B-4B70-9797-4B8EF7A111A9}"/>
    <hyperlink ref="B19" location="Beef!A1" display="Beef" xr:uid="{54D0970C-9DA1-41B2-8599-EE1EF569206A}"/>
    <hyperlink ref="B20" location="'Sheep Meat'!A1" display="Sheep &amp; Goat Meat" xr:uid="{C82DCE17-5B82-46A9-B7B0-13FAE90C6DD2}"/>
    <hyperlink ref="B22" location="Pork!A1" display="Pork" xr:uid="{9CD53814-C62C-4BEB-BC82-5BEA648E567C}"/>
    <hyperlink ref="B23" location="Poultry!A1" display="Poultry" xr:uid="{F9455790-8C75-4BC0-9942-12EF03E28B86}"/>
    <hyperlink ref="B24" location="Wool!A1" display="Wool" xr:uid="{2F339095-5100-4D90-86FD-2E0C4AF020FD}"/>
    <hyperlink ref="B25" location="Eggs!A1" display="Eggs" xr:uid="{C34E2963-C2B0-4198-85C6-E54E56C6A085}"/>
    <hyperlink ref="B26" location="Milk!A1" display="Milk" xr:uid="{1A538A03-49A9-4664-8A9F-CB2D8F300F28}"/>
    <hyperlink ref="B27" location="Forestry!A1" display="Forestry" xr:uid="{912CFCD2-8873-42AD-AF20-2779E650738F}"/>
    <hyperlink ref="B28" location="Fisheries!A1" display="Fisheries" xr:uid="{E2E36D52-350E-4602-BE4C-BBCA2C2AC948}"/>
    <hyperlink ref="B29" location="'Gross Value of Production'!A1" display="Gross Value of Production" xr:uid="{5E26E8C3-136C-440E-BF56-02F7753BBEE3}"/>
    <hyperlink ref="B30" location="Production!A1" display="Production Data Consolidated" xr:uid="{93A58AD4-512A-4CE6-A577-623B178D8E78}"/>
    <hyperlink ref="B31" location="Prices!A1" display="Price Data Consolidated" xr:uid="{FC724679-6BFE-4645-8E73-6C78D933949B}"/>
    <hyperlink ref="B32" location="Exports!A1" display="Exports Data Consolidated" xr:uid="{B940D61C-7F87-46A0-8398-A1ECDB5EB3D4}"/>
    <hyperlink ref="B33" location="'Imports &amp; Trade Balance'!A1" display="Imports &amp; Trade Balance Data Consolidated" xr:uid="{D8B5C7EC-E92B-4084-A9E0-FA3BBB65C508}"/>
    <hyperlink ref="B34" location="'Employment &amp; Businesses'!A1" display="Jobs &amp; Businesses Consolidated" xr:uid="{288F1F67-015E-4A5E-97BF-254A16F0D269}"/>
    <hyperlink ref="B35" location="Endnotes!A1" display="Consolidated Footnotes" xr:uid="{50859E7E-DCD1-4EF5-87F4-D1E849613DD7}"/>
    <hyperlink ref="B21" location="'Goat Meat'!A1" display="Goat Meat" xr:uid="{1E3ECBAA-8054-4DE8-9271-F8E6C198E58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D92DA-240F-4986-9D62-90851769EAA0}">
  <sheetPr codeName="Sheet10"/>
  <dimension ref="A1:M25"/>
  <sheetViews>
    <sheetView workbookViewId="0">
      <selection activeCell="A25" sqref="A25"/>
    </sheetView>
  </sheetViews>
  <sheetFormatPr defaultRowHeight="15" x14ac:dyDescent="0.25"/>
  <cols>
    <col min="1" max="1" width="30.42578125" bestFit="1" customWidth="1"/>
    <col min="2" max="2" width="10.5703125" bestFit="1" customWidth="1"/>
    <col min="3" max="3" width="11.42578125" bestFit="1" customWidth="1"/>
  </cols>
  <sheetData>
    <row r="1" spans="1:13" x14ac:dyDescent="0.25">
      <c r="A1" s="124" t="s">
        <v>14</v>
      </c>
      <c r="B1" s="124"/>
      <c r="C1" s="124"/>
      <c r="D1" s="124"/>
      <c r="E1" s="124"/>
      <c r="F1" s="124"/>
      <c r="G1" s="124"/>
      <c r="H1" s="124"/>
      <c r="I1" s="124"/>
      <c r="J1" s="124"/>
      <c r="K1" s="124"/>
      <c r="L1" s="124"/>
      <c r="M1" s="124"/>
    </row>
    <row r="2" spans="1:13" x14ac:dyDescent="0.25">
      <c r="A2" s="118" t="s">
        <v>52</v>
      </c>
      <c r="B2" s="119" t="s">
        <v>53</v>
      </c>
      <c r="C2" s="120" t="s">
        <v>44</v>
      </c>
      <c r="D2" s="119" t="str">
        <f>+'Gross Value of Production'!C1</f>
        <v>2018-19</v>
      </c>
      <c r="E2" s="119" t="str">
        <f>+'Gross Value of Production'!D1</f>
        <v>2019-20</v>
      </c>
      <c r="F2" s="119" t="str">
        <f>+'Gross Value of Production'!E1</f>
        <v>2020-21</v>
      </c>
      <c r="G2" s="119" t="str">
        <f>+'Gross Value of Production'!F1</f>
        <v>2021-22s</v>
      </c>
      <c r="H2" s="119" t="str">
        <f>+'Gross Value of Production'!G1</f>
        <v>2022-23e</v>
      </c>
      <c r="I2" s="121" t="s">
        <v>47</v>
      </c>
      <c r="J2" s="121" t="s">
        <v>65</v>
      </c>
      <c r="K2" s="121" t="s">
        <v>49</v>
      </c>
      <c r="L2" s="122" t="s">
        <v>50</v>
      </c>
      <c r="M2" s="123" t="s">
        <v>51</v>
      </c>
    </row>
    <row r="3" spans="1:13" x14ac:dyDescent="0.25">
      <c r="A3" s="98" t="s">
        <v>92</v>
      </c>
      <c r="B3" s="76"/>
      <c r="C3" s="99" t="s">
        <v>45</v>
      </c>
      <c r="D3" s="78">
        <f>+SUM(D4,D5,D6)</f>
        <v>1951.0254641900001</v>
      </c>
      <c r="E3" s="78">
        <f t="shared" ref="E3:H3" si="0">+SUM(E4,E5,E6)</f>
        <v>2033.9227488699999</v>
      </c>
      <c r="F3" s="78">
        <f t="shared" si="0"/>
        <v>2510.6387986699997</v>
      </c>
      <c r="G3" s="78">
        <f t="shared" si="0"/>
        <v>2924.4674703115115</v>
      </c>
      <c r="H3" s="78">
        <f t="shared" si="0"/>
        <v>2989.3306079696022</v>
      </c>
      <c r="I3" s="79">
        <f t="shared" ref="I3:I20" si="1">IF(ISBLANK(H3),"N/A",IF(ISNA(H3/G3-1),"N/A",IF(ISERROR(H3/G3-1),"N/A",H3/G3-1)))</f>
        <v>2.2179469703994092E-2</v>
      </c>
      <c r="J3" s="80">
        <f t="shared" ref="J3:J20" si="2">IF(ISBLANK(H3),"",IF(ISNA(AVERAGE(D3:H3)),"N/A",IF(ISERROR(AVERAGE(D3:H3)),"N/A",AVERAGE(D3:H3))))</f>
        <v>2481.8770180022229</v>
      </c>
      <c r="K3" s="79">
        <f t="shared" ref="K3:K20" si="3">IF(ISBLANK(H3),"",IF(ISNA(H3/AVERAGE(D3:H3)-1),"N/A",IF(ISERROR(H3/AVERAGE(D3:H3)-1),"N/A",H3/AVERAGE(D3:H3)-1)))</f>
        <v>0.20446363227773956</v>
      </c>
      <c r="L3" s="95" t="s">
        <v>352</v>
      </c>
      <c r="M3" s="97" t="s">
        <v>353</v>
      </c>
    </row>
    <row r="4" spans="1:13" x14ac:dyDescent="0.25">
      <c r="A4" s="98" t="s">
        <v>93</v>
      </c>
      <c r="B4" s="76"/>
      <c r="C4" s="99" t="s">
        <v>45</v>
      </c>
      <c r="D4" s="78">
        <v>933.17468346999999</v>
      </c>
      <c r="E4" s="78">
        <v>1067.19633077</v>
      </c>
      <c r="F4" s="78">
        <v>1279.9003590299999</v>
      </c>
      <c r="G4" s="78">
        <v>1398.5681542928376</v>
      </c>
      <c r="H4" s="78">
        <v>1426.0777855523349</v>
      </c>
      <c r="I4" s="79">
        <f t="shared" si="1"/>
        <v>1.9669853896685519E-2</v>
      </c>
      <c r="J4" s="80">
        <f t="shared" si="2"/>
        <v>1220.9834626230345</v>
      </c>
      <c r="K4" s="79">
        <f t="shared" si="3"/>
        <v>0.16797469352180827</v>
      </c>
      <c r="L4" s="95" t="s">
        <v>352</v>
      </c>
      <c r="M4" s="97" t="s">
        <v>353</v>
      </c>
    </row>
    <row r="5" spans="1:13" x14ac:dyDescent="0.25">
      <c r="A5" s="98" t="s">
        <v>94</v>
      </c>
      <c r="B5" s="76"/>
      <c r="C5" s="99" t="s">
        <v>45</v>
      </c>
      <c r="D5" s="78">
        <v>494.60913132000002</v>
      </c>
      <c r="E5" s="78">
        <v>427.19998650999997</v>
      </c>
      <c r="F5" s="78">
        <v>634.05250588000001</v>
      </c>
      <c r="G5" s="78">
        <v>719.99931601867377</v>
      </c>
      <c r="H5" s="78">
        <v>753.31998801845543</v>
      </c>
      <c r="I5" s="79">
        <f t="shared" si="1"/>
        <v>4.6278755074424804E-2</v>
      </c>
      <c r="J5" s="80">
        <f t="shared" si="2"/>
        <v>605.83618554942586</v>
      </c>
      <c r="K5" s="79">
        <f t="shared" si="3"/>
        <v>0.24343841782127651</v>
      </c>
      <c r="L5" s="95" t="s">
        <v>352</v>
      </c>
      <c r="M5" s="97" t="s">
        <v>353</v>
      </c>
    </row>
    <row r="6" spans="1:13" x14ac:dyDescent="0.25">
      <c r="A6" s="98" t="s">
        <v>95</v>
      </c>
      <c r="B6" s="76"/>
      <c r="C6" s="99" t="s">
        <v>45</v>
      </c>
      <c r="D6" s="78">
        <v>523.24164940000003</v>
      </c>
      <c r="E6" s="78">
        <v>539.52643159000002</v>
      </c>
      <c r="F6" s="78">
        <v>596.68593376000001</v>
      </c>
      <c r="G6" s="78">
        <v>805.9</v>
      </c>
      <c r="H6" s="78">
        <v>809.93283439881168</v>
      </c>
      <c r="I6" s="79">
        <f t="shared" si="1"/>
        <v>5.0041374845659625E-3</v>
      </c>
      <c r="J6" s="80">
        <f t="shared" si="2"/>
        <v>655.05736982976237</v>
      </c>
      <c r="K6" s="79">
        <f t="shared" si="3"/>
        <v>0.23643038259274696</v>
      </c>
      <c r="L6" s="95" t="s">
        <v>352</v>
      </c>
      <c r="M6" s="97" t="s">
        <v>353</v>
      </c>
    </row>
    <row r="7" spans="1:13" x14ac:dyDescent="0.25">
      <c r="A7" s="98" t="s">
        <v>422</v>
      </c>
      <c r="B7" s="76"/>
      <c r="C7" s="100" t="s">
        <v>59</v>
      </c>
      <c r="D7" s="85">
        <v>158.86395241999998</v>
      </c>
      <c r="E7" s="85">
        <v>189.91538</v>
      </c>
      <c r="F7" s="85">
        <v>239.00335999999999</v>
      </c>
      <c r="G7" s="85">
        <v>208.73798714587545</v>
      </c>
      <c r="H7" s="85" t="s">
        <v>151</v>
      </c>
      <c r="I7" s="79" t="str">
        <f t="shared" si="1"/>
        <v>N/A</v>
      </c>
      <c r="J7" s="80">
        <f t="shared" si="2"/>
        <v>199.13016989146882</v>
      </c>
      <c r="K7" s="79" t="str">
        <f t="shared" si="3"/>
        <v>N/A</v>
      </c>
      <c r="L7" s="81" t="s">
        <v>377</v>
      </c>
      <c r="M7" s="82" t="s">
        <v>378</v>
      </c>
    </row>
    <row r="8" spans="1:13" x14ac:dyDescent="0.25">
      <c r="A8" s="98" t="s">
        <v>426</v>
      </c>
      <c r="B8" s="76"/>
      <c r="C8" s="100" t="s">
        <v>59</v>
      </c>
      <c r="D8" s="85">
        <v>10.287822009999999</v>
      </c>
      <c r="E8" s="85">
        <v>15.703749999999999</v>
      </c>
      <c r="F8" s="85">
        <v>25.32931</v>
      </c>
      <c r="G8" s="85">
        <v>30.569241172303208</v>
      </c>
      <c r="H8" s="85" t="s">
        <v>151</v>
      </c>
      <c r="I8" s="79" t="str">
        <f t="shared" si="1"/>
        <v>N/A</v>
      </c>
      <c r="J8" s="80">
        <f t="shared" si="2"/>
        <v>20.4725307955758</v>
      </c>
      <c r="K8" s="79" t="str">
        <f t="shared" si="3"/>
        <v>N/A</v>
      </c>
      <c r="L8" s="81" t="s">
        <v>377</v>
      </c>
      <c r="M8" s="82" t="s">
        <v>378</v>
      </c>
    </row>
    <row r="9" spans="1:13" x14ac:dyDescent="0.25">
      <c r="A9" s="98" t="s">
        <v>425</v>
      </c>
      <c r="B9" s="76"/>
      <c r="C9" s="100" t="s">
        <v>59</v>
      </c>
      <c r="D9" s="85">
        <v>71.418869999999998</v>
      </c>
      <c r="E9" s="85">
        <v>52.964460000000003</v>
      </c>
      <c r="F9" s="85">
        <v>47.529919999999997</v>
      </c>
      <c r="G9" s="85" t="s">
        <v>151</v>
      </c>
      <c r="H9" s="85" t="s">
        <v>151</v>
      </c>
      <c r="I9" s="79" t="str">
        <f t="shared" si="1"/>
        <v>N/A</v>
      </c>
      <c r="J9" s="80">
        <f t="shared" si="2"/>
        <v>57.304416666666668</v>
      </c>
      <c r="K9" s="79" t="str">
        <f t="shared" si="3"/>
        <v>N/A</v>
      </c>
      <c r="L9" s="81" t="s">
        <v>377</v>
      </c>
      <c r="M9" s="82" t="s">
        <v>378</v>
      </c>
    </row>
    <row r="10" spans="1:13" x14ac:dyDescent="0.25">
      <c r="A10" s="98" t="s">
        <v>424</v>
      </c>
      <c r="B10" s="76"/>
      <c r="C10" s="100" t="s">
        <v>59</v>
      </c>
      <c r="D10" s="85">
        <v>11.182049429999999</v>
      </c>
      <c r="E10" s="85">
        <v>12.55725808</v>
      </c>
      <c r="F10" s="85">
        <v>9.7719533300000005</v>
      </c>
      <c r="G10" s="85" t="s">
        <v>151</v>
      </c>
      <c r="H10" s="85" t="s">
        <v>151</v>
      </c>
      <c r="I10" s="79" t="str">
        <f t="shared" si="1"/>
        <v>N/A</v>
      </c>
      <c r="J10" s="80">
        <f t="shared" si="2"/>
        <v>11.17042028</v>
      </c>
      <c r="K10" s="79" t="str">
        <f t="shared" si="3"/>
        <v>N/A</v>
      </c>
      <c r="L10" s="81" t="s">
        <v>377</v>
      </c>
      <c r="M10" s="82" t="s">
        <v>378</v>
      </c>
    </row>
    <row r="11" spans="1:13" x14ac:dyDescent="0.25">
      <c r="A11" s="98" t="s">
        <v>423</v>
      </c>
      <c r="B11" s="76"/>
      <c r="C11" s="100" t="s">
        <v>59</v>
      </c>
      <c r="D11" s="85">
        <v>82.463119999999989</v>
      </c>
      <c r="E11" s="85">
        <v>51.373050000000006</v>
      </c>
      <c r="F11" s="85">
        <v>86.629519999999999</v>
      </c>
      <c r="G11" s="85">
        <v>51.163931407997225</v>
      </c>
      <c r="H11" s="85" t="s">
        <v>151</v>
      </c>
      <c r="I11" s="79" t="str">
        <f t="shared" si="1"/>
        <v>N/A</v>
      </c>
      <c r="J11" s="80">
        <f t="shared" si="2"/>
        <v>67.907405351999302</v>
      </c>
      <c r="K11" s="79" t="str">
        <f t="shared" si="3"/>
        <v>N/A</v>
      </c>
      <c r="L11" s="81" t="s">
        <v>377</v>
      </c>
      <c r="M11" s="82" t="s">
        <v>378</v>
      </c>
    </row>
    <row r="12" spans="1:13" x14ac:dyDescent="0.25">
      <c r="A12" s="98" t="s">
        <v>96</v>
      </c>
      <c r="B12" s="76"/>
      <c r="C12" s="100" t="s">
        <v>97</v>
      </c>
      <c r="D12" s="85">
        <v>5.0278700000000001</v>
      </c>
      <c r="E12" s="85">
        <v>4.0449999999999999</v>
      </c>
      <c r="F12" s="85">
        <v>4.4332700000000003</v>
      </c>
      <c r="G12" s="85" t="s">
        <v>151</v>
      </c>
      <c r="H12" s="85" t="s">
        <v>151</v>
      </c>
      <c r="I12" s="79" t="str">
        <f t="shared" si="1"/>
        <v>N/A</v>
      </c>
      <c r="J12" s="80">
        <f t="shared" si="2"/>
        <v>4.5020466666666668</v>
      </c>
      <c r="K12" s="79" t="str">
        <f t="shared" si="3"/>
        <v>N/A</v>
      </c>
      <c r="L12" s="81" t="s">
        <v>377</v>
      </c>
      <c r="M12" s="82" t="s">
        <v>378</v>
      </c>
    </row>
    <row r="13" spans="1:13" x14ac:dyDescent="0.25">
      <c r="A13" s="98" t="s">
        <v>313</v>
      </c>
      <c r="B13" s="76"/>
      <c r="C13" s="99" t="s">
        <v>98</v>
      </c>
      <c r="D13" s="85">
        <v>103.125</v>
      </c>
      <c r="E13" s="85">
        <v>106.35</v>
      </c>
      <c r="F13" s="85">
        <v>111.27500000000001</v>
      </c>
      <c r="G13" s="85">
        <v>108.52499999999999</v>
      </c>
      <c r="H13" s="85">
        <v>120.70000000000002</v>
      </c>
      <c r="I13" s="79">
        <f t="shared" si="1"/>
        <v>0.11218613222759766</v>
      </c>
      <c r="J13" s="80">
        <f t="shared" si="2"/>
        <v>109.995</v>
      </c>
      <c r="K13" s="79">
        <f t="shared" si="3"/>
        <v>9.732260557298078E-2</v>
      </c>
      <c r="L13" s="81" t="s">
        <v>374</v>
      </c>
      <c r="M13" s="82" t="s">
        <v>375</v>
      </c>
    </row>
    <row r="14" spans="1:13" x14ac:dyDescent="0.25">
      <c r="A14" s="98" t="s">
        <v>314</v>
      </c>
      <c r="B14" s="76"/>
      <c r="C14" s="99" t="s">
        <v>98</v>
      </c>
      <c r="D14" s="85">
        <v>121.72500000000001</v>
      </c>
      <c r="E14" s="85">
        <v>126.02499999999999</v>
      </c>
      <c r="F14" s="85">
        <v>126.77499999999999</v>
      </c>
      <c r="G14" s="85">
        <v>138.57499999999999</v>
      </c>
      <c r="H14" s="85">
        <v>144.47500000000002</v>
      </c>
      <c r="I14" s="79">
        <f t="shared" si="1"/>
        <v>4.2576222262313168E-2</v>
      </c>
      <c r="J14" s="80">
        <f t="shared" si="2"/>
        <v>131.51499999999999</v>
      </c>
      <c r="K14" s="79">
        <f t="shared" si="3"/>
        <v>9.8543892331673488E-2</v>
      </c>
      <c r="L14" s="81" t="s">
        <v>374</v>
      </c>
      <c r="M14" s="82" t="s">
        <v>375</v>
      </c>
    </row>
    <row r="15" spans="1:13" x14ac:dyDescent="0.25">
      <c r="A15" s="162" t="s">
        <v>62</v>
      </c>
      <c r="B15" s="86" t="s">
        <v>63</v>
      </c>
      <c r="C15" s="99" t="s">
        <v>45</v>
      </c>
      <c r="D15" s="78">
        <v>458.23013600000002</v>
      </c>
      <c r="E15" s="78">
        <v>461.71497599999998</v>
      </c>
      <c r="F15" s="78">
        <v>288.29758299999997</v>
      </c>
      <c r="G15" s="78">
        <v>297.43630100000001</v>
      </c>
      <c r="H15" s="78">
        <v>287.85416900000001</v>
      </c>
      <c r="I15" s="79">
        <f t="shared" si="1"/>
        <v>-3.221574491003365E-2</v>
      </c>
      <c r="J15" s="80">
        <f t="shared" si="2"/>
        <v>358.70663299999995</v>
      </c>
      <c r="K15" s="79">
        <f t="shared" si="3"/>
        <v>-0.19752203467059937</v>
      </c>
      <c r="L15" s="95" t="s">
        <v>346</v>
      </c>
      <c r="M15" s="97" t="s">
        <v>345</v>
      </c>
    </row>
    <row r="16" spans="1:13" x14ac:dyDescent="0.25">
      <c r="A16" s="162"/>
      <c r="B16" s="88" t="s">
        <v>330</v>
      </c>
      <c r="C16" s="99" t="s">
        <v>45</v>
      </c>
      <c r="D16" s="78">
        <v>101.623346</v>
      </c>
      <c r="E16" s="78">
        <v>128.267653</v>
      </c>
      <c r="F16" s="78">
        <v>58.749277999999997</v>
      </c>
      <c r="G16" s="78">
        <v>54.332087999999999</v>
      </c>
      <c r="H16" s="78">
        <v>64.160506999999996</v>
      </c>
      <c r="I16" s="79">
        <f t="shared" si="1"/>
        <v>0.18089529340377997</v>
      </c>
      <c r="J16" s="80">
        <f t="shared" si="2"/>
        <v>81.426574399999993</v>
      </c>
      <c r="K16" s="79">
        <f t="shared" si="3"/>
        <v>-0.21204462458634388</v>
      </c>
      <c r="L16" s="95" t="s">
        <v>346</v>
      </c>
      <c r="M16" s="97" t="s">
        <v>345</v>
      </c>
    </row>
    <row r="17" spans="1:13" x14ac:dyDescent="0.25">
      <c r="A17" s="162"/>
      <c r="B17" s="88" t="s">
        <v>331</v>
      </c>
      <c r="C17" s="99" t="s">
        <v>45</v>
      </c>
      <c r="D17" s="78">
        <v>56.570425999999998</v>
      </c>
      <c r="E17" s="78">
        <v>50.645496999999999</v>
      </c>
      <c r="F17" s="78">
        <v>35.594763999999998</v>
      </c>
      <c r="G17" s="78">
        <v>30.898945000000001</v>
      </c>
      <c r="H17" s="78">
        <v>26.387848000000002</v>
      </c>
      <c r="I17" s="79">
        <f t="shared" si="1"/>
        <v>-0.14599517879979396</v>
      </c>
      <c r="J17" s="80">
        <f t="shared" si="2"/>
        <v>40.019495999999997</v>
      </c>
      <c r="K17" s="79">
        <f t="shared" si="3"/>
        <v>-0.34062517928761515</v>
      </c>
      <c r="L17" s="95" t="s">
        <v>346</v>
      </c>
      <c r="M17" s="97" t="s">
        <v>345</v>
      </c>
    </row>
    <row r="18" spans="1:13" x14ac:dyDescent="0.25">
      <c r="A18" s="162"/>
      <c r="B18" s="88" t="s">
        <v>337</v>
      </c>
      <c r="C18" s="99" t="s">
        <v>45</v>
      </c>
      <c r="D18" s="78">
        <v>29.730609000000001</v>
      </c>
      <c r="E18" s="78">
        <v>22.837375000000002</v>
      </c>
      <c r="F18" s="78">
        <v>23.309222999999999</v>
      </c>
      <c r="G18" s="78">
        <v>26.986765999999999</v>
      </c>
      <c r="H18" s="78">
        <v>23.092497999999999</v>
      </c>
      <c r="I18" s="79">
        <f t="shared" si="1"/>
        <v>-0.14430287793654117</v>
      </c>
      <c r="J18" s="80">
        <f t="shared" si="2"/>
        <v>25.191294199999998</v>
      </c>
      <c r="K18" s="79">
        <f t="shared" si="3"/>
        <v>-8.3314345953690583E-2</v>
      </c>
      <c r="L18" s="95" t="s">
        <v>346</v>
      </c>
      <c r="M18" s="97" t="s">
        <v>345</v>
      </c>
    </row>
    <row r="19" spans="1:13" x14ac:dyDescent="0.25">
      <c r="A19" s="98" t="s">
        <v>64</v>
      </c>
      <c r="B19" s="86" t="s">
        <v>63</v>
      </c>
      <c r="C19" s="99" t="s">
        <v>45</v>
      </c>
      <c r="D19" s="78">
        <v>1110.1252675999999</v>
      </c>
      <c r="E19" s="78">
        <v>1227.59916279</v>
      </c>
      <c r="F19" s="78">
        <v>1313.1326507199999</v>
      </c>
      <c r="G19" s="78">
        <v>1231.0799839700003</v>
      </c>
      <c r="H19" s="78">
        <v>1385.7185116100002</v>
      </c>
      <c r="I19" s="79">
        <f t="shared" si="1"/>
        <v>0.12561208829122528</v>
      </c>
      <c r="J19" s="80">
        <f t="shared" si="2"/>
        <v>1253.5311153380001</v>
      </c>
      <c r="K19" s="79">
        <f t="shared" si="3"/>
        <v>0.10545202640331541</v>
      </c>
      <c r="L19" s="95" t="s">
        <v>346</v>
      </c>
      <c r="M19" s="97" t="s">
        <v>345</v>
      </c>
    </row>
    <row r="20" spans="1:13" x14ac:dyDescent="0.25">
      <c r="A20" s="98" t="s">
        <v>301</v>
      </c>
      <c r="B20" s="86" t="s">
        <v>63</v>
      </c>
      <c r="C20" s="99" t="s">
        <v>45</v>
      </c>
      <c r="D20" s="78">
        <f>+D15-D19</f>
        <v>-651.8951315999999</v>
      </c>
      <c r="E20" s="78">
        <f t="shared" ref="E20:H20" si="4">+E15-E19</f>
        <v>-765.88418679000006</v>
      </c>
      <c r="F20" s="78">
        <f t="shared" si="4"/>
        <v>-1024.8350677199999</v>
      </c>
      <c r="G20" s="78">
        <f t="shared" si="4"/>
        <v>-933.64368297000033</v>
      </c>
      <c r="H20" s="78">
        <f t="shared" si="4"/>
        <v>-1097.8643426100002</v>
      </c>
      <c r="I20" s="79">
        <f t="shared" si="1"/>
        <v>0.17589221952169165</v>
      </c>
      <c r="J20" s="80">
        <f t="shared" si="2"/>
        <v>-894.82448233800028</v>
      </c>
      <c r="K20" s="79">
        <f t="shared" si="3"/>
        <v>0.22690467715131879</v>
      </c>
      <c r="L20" s="95" t="s">
        <v>346</v>
      </c>
      <c r="M20" s="97" t="s">
        <v>345</v>
      </c>
    </row>
    <row r="21" spans="1:13" x14ac:dyDescent="0.25">
      <c r="A21" s="13" t="s">
        <v>294</v>
      </c>
    </row>
    <row r="22" spans="1:13" x14ac:dyDescent="0.25">
      <c r="A22" s="13" t="s">
        <v>308</v>
      </c>
    </row>
    <row r="23" spans="1:13" x14ac:dyDescent="0.25">
      <c r="A23" s="13" t="s">
        <v>316</v>
      </c>
    </row>
    <row r="24" spans="1:13" x14ac:dyDescent="0.25">
      <c r="A24" s="13" t="s">
        <v>310</v>
      </c>
    </row>
    <row r="25" spans="1:13" x14ac:dyDescent="0.25">
      <c r="A25" s="13" t="s">
        <v>271</v>
      </c>
    </row>
  </sheetData>
  <mergeCells count="1">
    <mergeCell ref="A15:A1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301B0-75A2-4442-8FC8-856D18FDB352}">
  <sheetPr codeName="Sheet11"/>
  <dimension ref="A1:M17"/>
  <sheetViews>
    <sheetView workbookViewId="0">
      <selection activeCell="A17" sqref="A17"/>
    </sheetView>
  </sheetViews>
  <sheetFormatPr defaultRowHeight="15" x14ac:dyDescent="0.25"/>
  <cols>
    <col min="1" max="1" width="27.85546875" bestFit="1" customWidth="1"/>
    <col min="2" max="2" width="14" bestFit="1" customWidth="1"/>
    <col min="3" max="3" width="10" bestFit="1" customWidth="1"/>
  </cols>
  <sheetData>
    <row r="1" spans="1:13" x14ac:dyDescent="0.25">
      <c r="A1" s="124" t="s">
        <v>37</v>
      </c>
      <c r="B1" s="124"/>
      <c r="C1" s="124"/>
      <c r="D1" s="124"/>
      <c r="E1" s="124"/>
      <c r="F1" s="124"/>
      <c r="G1" s="124"/>
      <c r="H1" s="124"/>
      <c r="I1" s="124"/>
      <c r="J1" s="124"/>
      <c r="K1" s="124"/>
      <c r="L1" s="124"/>
      <c r="M1" s="124"/>
    </row>
    <row r="2" spans="1:13" x14ac:dyDescent="0.25">
      <c r="A2" s="125" t="s">
        <v>52</v>
      </c>
      <c r="B2" s="119" t="s">
        <v>53</v>
      </c>
      <c r="C2" s="126" t="s">
        <v>44</v>
      </c>
      <c r="D2" s="119" t="str">
        <f>+'Gross Value of Production'!C1</f>
        <v>2018-19</v>
      </c>
      <c r="E2" s="119" t="str">
        <f>+'Gross Value of Production'!D1</f>
        <v>2019-20</v>
      </c>
      <c r="F2" s="119" t="str">
        <f>+'Gross Value of Production'!E1</f>
        <v>2020-21</v>
      </c>
      <c r="G2" s="119" t="str">
        <f>+'Gross Value of Production'!F1</f>
        <v>2021-22s</v>
      </c>
      <c r="H2" s="119" t="str">
        <f>+'Gross Value of Production'!G1</f>
        <v>2022-23e</v>
      </c>
      <c r="I2" s="121" t="s">
        <v>47</v>
      </c>
      <c r="J2" s="121" t="s">
        <v>65</v>
      </c>
      <c r="K2" s="121" t="s">
        <v>49</v>
      </c>
      <c r="L2" s="122" t="s">
        <v>50</v>
      </c>
      <c r="M2" s="123" t="s">
        <v>51</v>
      </c>
    </row>
    <row r="3" spans="1:13" x14ac:dyDescent="0.25">
      <c r="A3" s="98" t="s">
        <v>315</v>
      </c>
      <c r="B3" s="76"/>
      <c r="C3" s="77" t="s">
        <v>45</v>
      </c>
      <c r="D3" s="78">
        <v>268.84838020000001</v>
      </c>
      <c r="E3" s="78">
        <v>257.23559011999998</v>
      </c>
      <c r="F3" s="78">
        <v>286.29324714000001</v>
      </c>
      <c r="G3" s="78">
        <v>223.50038925999999</v>
      </c>
      <c r="H3" s="78">
        <v>164.51703741</v>
      </c>
      <c r="I3" s="79">
        <f t="shared" ref="I3:I13" si="0">IF(ISBLANK(H3),"N/A",IF(ISNA(H3/G3-1),"N/A",IF(ISERROR(H3/G3-1),"N/A",H3/G3-1)))</f>
        <v>-0.26390715490604422</v>
      </c>
      <c r="J3" s="80">
        <f t="shared" ref="J3:J13" si="1">IF(ISBLANK(H3),"",IF(ISNA(AVERAGE(D3:H3)),"N/A",IF(ISERROR(AVERAGE(D3:H3)),"N/A",AVERAGE(D3:H3))))</f>
        <v>240.07892882599998</v>
      </c>
      <c r="K3" s="79">
        <f t="shared" ref="K3:K13" si="2">IF(ISBLANK(H3),"",IF(ISNA(H3/AVERAGE(D3:H3)-1),"N/A",IF(ISERROR(H3/AVERAGE(D3:H3)-1),"N/A",H3/AVERAGE(D3:H3)-1)))</f>
        <v>-0.31473770640972976</v>
      </c>
      <c r="L3" s="95" t="s">
        <v>369</v>
      </c>
      <c r="M3" s="97" t="s">
        <v>370</v>
      </c>
    </row>
    <row r="4" spans="1:13" x14ac:dyDescent="0.25">
      <c r="A4" s="75" t="s">
        <v>54</v>
      </c>
      <c r="B4" s="76"/>
      <c r="C4" s="77" t="s">
        <v>55</v>
      </c>
      <c r="D4" s="84">
        <v>30.111339999999998</v>
      </c>
      <c r="E4" s="84">
        <v>31.07189</v>
      </c>
      <c r="F4" s="84">
        <v>30.236060000000002</v>
      </c>
      <c r="G4" s="84">
        <v>26.616533106436204</v>
      </c>
      <c r="H4" s="85" t="s">
        <v>151</v>
      </c>
      <c r="I4" s="79" t="str">
        <f t="shared" si="0"/>
        <v>N/A</v>
      </c>
      <c r="J4" s="80">
        <f t="shared" si="1"/>
        <v>29.508955776609049</v>
      </c>
      <c r="K4" s="79" t="str">
        <f t="shared" si="2"/>
        <v>N/A</v>
      </c>
      <c r="L4" s="81" t="s">
        <v>377</v>
      </c>
      <c r="M4" s="82" t="s">
        <v>378</v>
      </c>
    </row>
    <row r="5" spans="1:13" x14ac:dyDescent="0.25">
      <c r="A5" s="75" t="s">
        <v>56</v>
      </c>
      <c r="B5" s="76"/>
      <c r="C5" s="77" t="s">
        <v>57</v>
      </c>
      <c r="D5" s="84">
        <v>15.53</v>
      </c>
      <c r="E5" s="84">
        <v>15.03</v>
      </c>
      <c r="F5" s="84">
        <v>16.23</v>
      </c>
      <c r="G5" s="84">
        <v>12.146437629608041</v>
      </c>
      <c r="H5" s="85" t="s">
        <v>151</v>
      </c>
      <c r="I5" s="79" t="str">
        <f t="shared" si="0"/>
        <v>N/A</v>
      </c>
      <c r="J5" s="80">
        <f t="shared" si="1"/>
        <v>14.734109407402009</v>
      </c>
      <c r="K5" s="79" t="str">
        <f t="shared" si="2"/>
        <v>N/A</v>
      </c>
      <c r="L5" s="81" t="s">
        <v>377</v>
      </c>
      <c r="M5" s="82" t="s">
        <v>378</v>
      </c>
    </row>
    <row r="6" spans="1:13" x14ac:dyDescent="0.25">
      <c r="A6" s="75" t="s">
        <v>427</v>
      </c>
      <c r="B6" s="76"/>
      <c r="C6" s="83" t="s">
        <v>59</v>
      </c>
      <c r="D6" s="84">
        <v>543.17737365515904</v>
      </c>
      <c r="E6" s="84">
        <v>498.19181551552401</v>
      </c>
      <c r="F6" s="84">
        <v>573.34846363665702</v>
      </c>
      <c r="G6" s="84">
        <v>494.82340398575599</v>
      </c>
      <c r="H6" s="84">
        <v>355.08309948247199</v>
      </c>
      <c r="I6" s="79">
        <f t="shared" si="0"/>
        <v>-0.28240439594750166</v>
      </c>
      <c r="J6" s="80">
        <f t="shared" si="1"/>
        <v>492.92483125511365</v>
      </c>
      <c r="K6" s="79">
        <f t="shared" si="2"/>
        <v>-0.27964047057978614</v>
      </c>
      <c r="L6" s="95" t="s">
        <v>369</v>
      </c>
      <c r="M6" s="97" t="s">
        <v>370</v>
      </c>
    </row>
    <row r="7" spans="1:13" x14ac:dyDescent="0.25">
      <c r="A7" s="75" t="s">
        <v>358</v>
      </c>
      <c r="B7" s="76"/>
      <c r="C7" s="77" t="s">
        <v>61</v>
      </c>
      <c r="D7" s="78">
        <v>488.973876818115</v>
      </c>
      <c r="E7" s="78">
        <v>516.33153954537704</v>
      </c>
      <c r="F7" s="78">
        <v>491.221438290501</v>
      </c>
      <c r="G7" s="78">
        <v>434.12706004008197</v>
      </c>
      <c r="H7" s="78">
        <v>437.04174819161602</v>
      </c>
      <c r="I7" s="79">
        <f t="shared" si="0"/>
        <v>6.7139057198253305E-3</v>
      </c>
      <c r="J7" s="80">
        <f t="shared" si="1"/>
        <v>473.53913257713822</v>
      </c>
      <c r="K7" s="79">
        <f t="shared" si="2"/>
        <v>-7.7073639483378642E-2</v>
      </c>
      <c r="L7" s="107" t="s">
        <v>357</v>
      </c>
      <c r="M7" s="97" t="s">
        <v>356</v>
      </c>
    </row>
    <row r="8" spans="1:13" x14ac:dyDescent="0.25">
      <c r="A8" s="163" t="s">
        <v>249</v>
      </c>
      <c r="B8" s="86" t="s">
        <v>63</v>
      </c>
      <c r="C8" s="77" t="s">
        <v>45</v>
      </c>
      <c r="D8" s="78">
        <v>539.84796500000004</v>
      </c>
      <c r="E8" s="78">
        <v>550.59447999999998</v>
      </c>
      <c r="F8" s="78">
        <v>519.95409800000004</v>
      </c>
      <c r="G8" s="78">
        <v>469.90477900000002</v>
      </c>
      <c r="H8" s="78">
        <v>414.72675299999997</v>
      </c>
      <c r="I8" s="79">
        <f t="shared" si="0"/>
        <v>-0.11742384514033655</v>
      </c>
      <c r="J8" s="80">
        <f t="shared" si="1"/>
        <v>499.00561500000003</v>
      </c>
      <c r="K8" s="79">
        <f t="shared" si="2"/>
        <v>-0.16889361455381635</v>
      </c>
      <c r="L8" s="95" t="s">
        <v>346</v>
      </c>
      <c r="M8" s="97" t="s">
        <v>345</v>
      </c>
    </row>
    <row r="9" spans="1:13" x14ac:dyDescent="0.25">
      <c r="A9" s="163"/>
      <c r="B9" s="88" t="s">
        <v>338</v>
      </c>
      <c r="C9" s="77" t="s">
        <v>45</v>
      </c>
      <c r="D9" s="78">
        <v>244.55725899999999</v>
      </c>
      <c r="E9" s="78">
        <v>251.65068600000001</v>
      </c>
      <c r="F9" s="78">
        <v>227.615216</v>
      </c>
      <c r="G9" s="78">
        <v>226.474469</v>
      </c>
      <c r="H9" s="78">
        <v>181.815811</v>
      </c>
      <c r="I9" s="79">
        <f t="shared" si="0"/>
        <v>-0.19719069525669142</v>
      </c>
      <c r="J9" s="80">
        <f t="shared" si="1"/>
        <v>226.42268819999998</v>
      </c>
      <c r="K9" s="79">
        <f t="shared" si="2"/>
        <v>-0.19700710010384903</v>
      </c>
      <c r="L9" s="95" t="s">
        <v>346</v>
      </c>
      <c r="M9" s="97" t="s">
        <v>345</v>
      </c>
    </row>
    <row r="10" spans="1:13" x14ac:dyDescent="0.25">
      <c r="A10" s="163"/>
      <c r="B10" s="88" t="s">
        <v>339</v>
      </c>
      <c r="C10" s="77" t="s">
        <v>45</v>
      </c>
      <c r="D10" s="78">
        <v>88.115504999999999</v>
      </c>
      <c r="E10" s="78">
        <v>94.467372999999995</v>
      </c>
      <c r="F10" s="78">
        <v>114.824506</v>
      </c>
      <c r="G10" s="78">
        <v>93.696257000000003</v>
      </c>
      <c r="H10" s="78">
        <v>94.209445000000002</v>
      </c>
      <c r="I10" s="79">
        <f t="shared" si="0"/>
        <v>5.4771451542616756E-3</v>
      </c>
      <c r="J10" s="80">
        <f t="shared" si="1"/>
        <v>97.062617200000005</v>
      </c>
      <c r="K10" s="79">
        <f t="shared" si="2"/>
        <v>-2.9395170687814498E-2</v>
      </c>
      <c r="L10" s="95" t="s">
        <v>346</v>
      </c>
      <c r="M10" s="97" t="s">
        <v>345</v>
      </c>
    </row>
    <row r="11" spans="1:13" x14ac:dyDescent="0.25">
      <c r="A11" s="163"/>
      <c r="B11" s="88" t="s">
        <v>330</v>
      </c>
      <c r="C11" s="77" t="s">
        <v>45</v>
      </c>
      <c r="D11" s="78">
        <v>43.360847</v>
      </c>
      <c r="E11" s="78">
        <v>43.495663</v>
      </c>
      <c r="F11" s="78">
        <v>42.190545999999998</v>
      </c>
      <c r="G11" s="78">
        <v>33.926205000000003</v>
      </c>
      <c r="H11" s="78">
        <v>32.828811000000002</v>
      </c>
      <c r="I11" s="79">
        <f t="shared" si="0"/>
        <v>-3.2346500293799485E-2</v>
      </c>
      <c r="J11" s="80">
        <f t="shared" si="1"/>
        <v>39.160414400000001</v>
      </c>
      <c r="K11" s="79">
        <f t="shared" si="2"/>
        <v>-0.16168376910740756</v>
      </c>
      <c r="L11" s="95" t="s">
        <v>346</v>
      </c>
      <c r="M11" s="97" t="s">
        <v>345</v>
      </c>
    </row>
    <row r="12" spans="1:13" x14ac:dyDescent="0.25">
      <c r="A12" s="75" t="s">
        <v>64</v>
      </c>
      <c r="B12" s="86" t="s">
        <v>63</v>
      </c>
      <c r="C12" s="77" t="s">
        <v>45</v>
      </c>
      <c r="D12" s="78">
        <v>265.55277066000002</v>
      </c>
      <c r="E12" s="78">
        <v>259.39533554000002</v>
      </c>
      <c r="F12" s="78">
        <v>242.0369599</v>
      </c>
      <c r="G12" s="78">
        <v>298.20472947000002</v>
      </c>
      <c r="H12" s="78">
        <v>315.80305208999999</v>
      </c>
      <c r="I12" s="79">
        <f t="shared" si="0"/>
        <v>5.9014230429133452E-2</v>
      </c>
      <c r="J12" s="80">
        <f t="shared" si="1"/>
        <v>276.19856953200002</v>
      </c>
      <c r="K12" s="79">
        <f t="shared" si="2"/>
        <v>0.14339133843128549</v>
      </c>
      <c r="L12" s="95" t="s">
        <v>346</v>
      </c>
      <c r="M12" s="97" t="s">
        <v>345</v>
      </c>
    </row>
    <row r="13" spans="1:13" x14ac:dyDescent="0.25">
      <c r="A13" s="89" t="s">
        <v>301</v>
      </c>
      <c r="B13" s="90" t="s">
        <v>63</v>
      </c>
      <c r="C13" s="91" t="s">
        <v>45</v>
      </c>
      <c r="D13" s="78">
        <f>+D8-D12</f>
        <v>274.29519434000002</v>
      </c>
      <c r="E13" s="78">
        <f t="shared" ref="E13:H13" si="3">+E8-E12</f>
        <v>291.19914445999996</v>
      </c>
      <c r="F13" s="78">
        <f t="shared" si="3"/>
        <v>277.91713810000005</v>
      </c>
      <c r="G13" s="78">
        <f t="shared" si="3"/>
        <v>171.70004953</v>
      </c>
      <c r="H13" s="78">
        <f t="shared" si="3"/>
        <v>98.92370090999998</v>
      </c>
      <c r="I13" s="79">
        <f t="shared" si="0"/>
        <v>-0.42385747015922848</v>
      </c>
      <c r="J13" s="80">
        <f t="shared" si="1"/>
        <v>222.80704546799998</v>
      </c>
      <c r="K13" s="79">
        <f t="shared" si="2"/>
        <v>-0.55601179171774617</v>
      </c>
      <c r="L13" s="95" t="s">
        <v>346</v>
      </c>
      <c r="M13" s="97" t="s">
        <v>345</v>
      </c>
    </row>
    <row r="14" spans="1:13" x14ac:dyDescent="0.25">
      <c r="A14" s="13" t="s">
        <v>294</v>
      </c>
    </row>
    <row r="15" spans="1:13" x14ac:dyDescent="0.25">
      <c r="A15" s="13" t="s">
        <v>308</v>
      </c>
    </row>
    <row r="16" spans="1:13" x14ac:dyDescent="0.25">
      <c r="A16" s="13" t="s">
        <v>381</v>
      </c>
    </row>
    <row r="17" spans="1:1" x14ac:dyDescent="0.25">
      <c r="A17" s="13" t="s">
        <v>271</v>
      </c>
    </row>
  </sheetData>
  <mergeCells count="1">
    <mergeCell ref="A8:A1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506F6-A7D7-4E4B-BBF0-DDE8594F36CD}">
  <sheetPr codeName="Sheet12"/>
  <dimension ref="A1:M21"/>
  <sheetViews>
    <sheetView workbookViewId="0">
      <selection activeCell="A19" sqref="A19"/>
    </sheetView>
  </sheetViews>
  <sheetFormatPr defaultRowHeight="15" x14ac:dyDescent="0.25"/>
  <cols>
    <col min="1" max="1" width="34.28515625" bestFit="1" customWidth="1"/>
    <col min="2" max="2" width="11.85546875" bestFit="1" customWidth="1"/>
    <col min="3" max="3" width="12.140625" bestFit="1" customWidth="1"/>
    <col min="4" max="4" width="11.5703125" bestFit="1" customWidth="1"/>
  </cols>
  <sheetData>
    <row r="1" spans="1:13" x14ac:dyDescent="0.25">
      <c r="A1" s="124" t="s">
        <v>16</v>
      </c>
      <c r="B1" s="124"/>
      <c r="C1" s="124"/>
      <c r="D1" s="124"/>
      <c r="E1" s="124"/>
      <c r="F1" s="124"/>
      <c r="G1" s="124"/>
      <c r="H1" s="124"/>
      <c r="I1" s="124"/>
      <c r="J1" s="124"/>
      <c r="K1" s="124"/>
      <c r="L1" s="124"/>
      <c r="M1" s="124"/>
    </row>
    <row r="2" spans="1:13" ht="48.75" x14ac:dyDescent="0.25">
      <c r="A2" s="118" t="s">
        <v>52</v>
      </c>
      <c r="B2" s="119" t="s">
        <v>53</v>
      </c>
      <c r="C2" s="120" t="s">
        <v>44</v>
      </c>
      <c r="D2" s="119" t="str">
        <f>+'Gross Value of Production'!C1</f>
        <v>2018-19</v>
      </c>
      <c r="E2" s="119" t="str">
        <f>+'Gross Value of Production'!D1</f>
        <v>2019-20</v>
      </c>
      <c r="F2" s="119" t="str">
        <f>+'Gross Value of Production'!E1</f>
        <v>2020-21</v>
      </c>
      <c r="G2" s="119" t="str">
        <f>+'Gross Value of Production'!F1</f>
        <v>2021-22s</v>
      </c>
      <c r="H2" s="119" t="str">
        <f>+'Gross Value of Production'!G1</f>
        <v>2022-23e</v>
      </c>
      <c r="I2" s="127" t="s">
        <v>47</v>
      </c>
      <c r="J2" s="127" t="s">
        <v>48</v>
      </c>
      <c r="K2" s="128" t="s">
        <v>49</v>
      </c>
      <c r="L2" s="119" t="s">
        <v>50</v>
      </c>
      <c r="M2" s="120" t="s">
        <v>51</v>
      </c>
    </row>
    <row r="3" spans="1:13" x14ac:dyDescent="0.25">
      <c r="A3" s="98" t="s">
        <v>315</v>
      </c>
      <c r="B3" s="76"/>
      <c r="C3" s="99" t="s">
        <v>45</v>
      </c>
      <c r="D3" s="78">
        <v>2562.5153943</v>
      </c>
      <c r="E3" s="78">
        <v>2724.1466098000001</v>
      </c>
      <c r="F3" s="78">
        <v>2751.7723313000001</v>
      </c>
      <c r="G3" s="78">
        <v>3332.7019005474381</v>
      </c>
      <c r="H3" s="78">
        <v>3354.3198038975547</v>
      </c>
      <c r="I3" s="79">
        <f t="shared" ref="I3:I18" si="0">IF(ISBLANK(H3),"N/A",IF(ISNA(H3/G3-1),"N/A",IF(ISERROR(H3/G3-1),"N/A",H3/G3-1)))</f>
        <v>6.4865997605623171E-3</v>
      </c>
      <c r="J3" s="80">
        <f t="shared" ref="J3:J18" si="1">IF(ISBLANK(H3),"",IF(ISNA(AVERAGE(D3:H3)),"N/A",IF(ISERROR(AVERAGE(D3:H3)),"N/A",AVERAGE(D3:H3))))</f>
        <v>2945.0912079689988</v>
      </c>
      <c r="K3" s="79">
        <f t="shared" ref="K3:K18" si="2">IF(ISBLANK(H3),"",IF(ISNA(H3/AVERAGE(D3:H3)-1),"N/A",IF(ISERROR(H3/AVERAGE(D3:H3)-1),"N/A",H3/AVERAGE(D3:H3)-1)))</f>
        <v>0.13895277498409597</v>
      </c>
      <c r="L3" s="95" t="s">
        <v>352</v>
      </c>
      <c r="M3" s="97" t="s">
        <v>353</v>
      </c>
    </row>
    <row r="4" spans="1:13" x14ac:dyDescent="0.25">
      <c r="A4" s="98" t="s">
        <v>361</v>
      </c>
      <c r="B4" s="86"/>
      <c r="C4" s="100" t="s">
        <v>76</v>
      </c>
      <c r="D4" s="106">
        <v>327.25824999999998</v>
      </c>
      <c r="E4" s="106">
        <v>309.81099999999998</v>
      </c>
      <c r="F4" s="106">
        <v>311.67624999999998</v>
      </c>
      <c r="G4" s="106">
        <v>327.17624999999998</v>
      </c>
      <c r="H4" s="85">
        <v>326.05975000000001</v>
      </c>
      <c r="I4" s="79">
        <f t="shared" si="0"/>
        <v>-3.4125337642936238E-3</v>
      </c>
      <c r="J4" s="80">
        <f t="shared" si="1"/>
        <v>320.3963</v>
      </c>
      <c r="K4" s="79">
        <f t="shared" si="2"/>
        <v>1.7676390145579202E-2</v>
      </c>
      <c r="L4" s="81" t="s">
        <v>360</v>
      </c>
      <c r="M4" s="104" t="s">
        <v>376</v>
      </c>
    </row>
    <row r="5" spans="1:13" x14ac:dyDescent="0.25">
      <c r="A5" s="98" t="s">
        <v>77</v>
      </c>
      <c r="B5" s="86"/>
      <c r="C5" s="100" t="s">
        <v>76</v>
      </c>
      <c r="D5" s="106">
        <v>3780.3457799999996</v>
      </c>
      <c r="E5" s="106">
        <v>3602.6326600000002</v>
      </c>
      <c r="F5" s="106">
        <v>4147.5947799999994</v>
      </c>
      <c r="G5" s="106">
        <v>4363.2188361374992</v>
      </c>
      <c r="H5" s="85" t="s">
        <v>151</v>
      </c>
      <c r="I5" s="79" t="str">
        <f t="shared" si="0"/>
        <v>N/A</v>
      </c>
      <c r="J5" s="80">
        <f t="shared" si="1"/>
        <v>3973.4480140343744</v>
      </c>
      <c r="K5" s="79" t="str">
        <f t="shared" si="2"/>
        <v>N/A</v>
      </c>
      <c r="L5" s="81" t="s">
        <v>377</v>
      </c>
      <c r="M5" s="82" t="s">
        <v>378</v>
      </c>
    </row>
    <row r="6" spans="1:13" x14ac:dyDescent="0.25">
      <c r="A6" s="98" t="s">
        <v>78</v>
      </c>
      <c r="B6" s="86"/>
      <c r="C6" s="100" t="s">
        <v>79</v>
      </c>
      <c r="D6" s="105">
        <v>0.16890049592825968</v>
      </c>
      <c r="E6" s="105">
        <v>0.17040301838119221</v>
      </c>
      <c r="F6" s="105">
        <v>0.18811375620165813</v>
      </c>
      <c r="G6" s="105">
        <v>0.19609627303102237</v>
      </c>
      <c r="H6" s="85" t="s">
        <v>151</v>
      </c>
      <c r="I6" s="79" t="str">
        <f t="shared" si="0"/>
        <v>N/A</v>
      </c>
      <c r="J6" s="80">
        <f t="shared" si="1"/>
        <v>0.18087838588553309</v>
      </c>
      <c r="K6" s="79" t="str">
        <f t="shared" si="2"/>
        <v>N/A</v>
      </c>
      <c r="L6" s="81" t="s">
        <v>377</v>
      </c>
      <c r="M6" s="82" t="s">
        <v>378</v>
      </c>
    </row>
    <row r="7" spans="1:13" x14ac:dyDescent="0.25">
      <c r="A7" s="98" t="s">
        <v>80</v>
      </c>
      <c r="B7" s="76"/>
      <c r="C7" s="100" t="s">
        <v>59</v>
      </c>
      <c r="D7" s="85">
        <v>535.53800000000001</v>
      </c>
      <c r="E7" s="85">
        <v>516.40300000000002</v>
      </c>
      <c r="F7" s="85">
        <v>401.91699999999997</v>
      </c>
      <c r="G7" s="85">
        <v>399.05700000000002</v>
      </c>
      <c r="H7" s="85">
        <v>425.20100000000002</v>
      </c>
      <c r="I7" s="79">
        <f t="shared" si="0"/>
        <v>6.5514450316621398E-2</v>
      </c>
      <c r="J7" s="80">
        <f t="shared" si="1"/>
        <v>455.6232</v>
      </c>
      <c r="K7" s="79">
        <f t="shared" si="2"/>
        <v>-6.6770524415789123E-2</v>
      </c>
      <c r="L7" s="81" t="s">
        <v>382</v>
      </c>
      <c r="M7" s="82" t="s">
        <v>383</v>
      </c>
    </row>
    <row r="8" spans="1:13" x14ac:dyDescent="0.25">
      <c r="A8" s="98" t="s">
        <v>81</v>
      </c>
      <c r="B8" s="76"/>
      <c r="C8" s="100" t="s">
        <v>82</v>
      </c>
      <c r="D8" s="85">
        <v>1910.1999999999996</v>
      </c>
      <c r="E8" s="85">
        <v>1841.2</v>
      </c>
      <c r="F8" s="85">
        <v>1356.0999999999997</v>
      </c>
      <c r="G8" s="85">
        <v>1300.6000000000001</v>
      </c>
      <c r="H8" s="85">
        <v>1399.5</v>
      </c>
      <c r="I8" s="79">
        <f t="shared" si="0"/>
        <v>7.604182684914651E-2</v>
      </c>
      <c r="J8" s="80">
        <f t="shared" si="1"/>
        <v>1561.52</v>
      </c>
      <c r="K8" s="79">
        <f t="shared" si="2"/>
        <v>-0.10375787694041705</v>
      </c>
      <c r="L8" s="81" t="s">
        <v>382</v>
      </c>
      <c r="M8" s="82" t="s">
        <v>383</v>
      </c>
    </row>
    <row r="9" spans="1:13" x14ac:dyDescent="0.25">
      <c r="A9" s="98" t="s">
        <v>250</v>
      </c>
      <c r="B9" s="76"/>
      <c r="C9" s="100" t="s">
        <v>83</v>
      </c>
      <c r="D9" s="85">
        <f>100*D8/D7</f>
        <v>356.68804081129622</v>
      </c>
      <c r="E9" s="85">
        <f>100*E8/E7</f>
        <v>356.54324239014875</v>
      </c>
      <c r="F9" s="85">
        <f>100*F8/F7</f>
        <v>337.40797229278678</v>
      </c>
      <c r="G9" s="85">
        <f>100*G8/G7</f>
        <v>325.91835251605664</v>
      </c>
      <c r="H9" s="85">
        <f>100*H8/H7</f>
        <v>329.13845451915682</v>
      </c>
      <c r="I9" s="79">
        <f t="shared" si="0"/>
        <v>9.8800879982403611E-3</v>
      </c>
      <c r="J9" s="80">
        <f t="shared" si="1"/>
        <v>341.13921250588902</v>
      </c>
      <c r="K9" s="79">
        <f t="shared" si="2"/>
        <v>-3.517847713424338E-2</v>
      </c>
      <c r="L9" s="81" t="s">
        <v>360</v>
      </c>
      <c r="M9" s="104" t="s">
        <v>376</v>
      </c>
    </row>
    <row r="10" spans="1:13" x14ac:dyDescent="0.25">
      <c r="A10" s="98" t="s">
        <v>84</v>
      </c>
      <c r="B10" s="76"/>
      <c r="C10" s="99" t="s">
        <v>85</v>
      </c>
      <c r="D10" s="85">
        <v>485.44</v>
      </c>
      <c r="E10" s="85">
        <v>584.77</v>
      </c>
      <c r="F10" s="85">
        <v>833.22</v>
      </c>
      <c r="G10" s="85">
        <v>1073.2447257383967</v>
      </c>
      <c r="H10" s="85">
        <v>813.46</v>
      </c>
      <c r="I10" s="79">
        <f t="shared" si="0"/>
        <v>-0.2420554413250563</v>
      </c>
      <c r="J10" s="80">
        <f t="shared" si="1"/>
        <v>758.02694514767938</v>
      </c>
      <c r="K10" s="79">
        <f t="shared" si="2"/>
        <v>7.3128079690519598E-2</v>
      </c>
      <c r="L10" s="81" t="s">
        <v>360</v>
      </c>
      <c r="M10" s="104" t="s">
        <v>376</v>
      </c>
    </row>
    <row r="11" spans="1:13" x14ac:dyDescent="0.25">
      <c r="A11" s="98" t="s">
        <v>349</v>
      </c>
      <c r="B11" s="76"/>
      <c r="C11" s="99" t="s">
        <v>85</v>
      </c>
      <c r="D11" s="85">
        <v>186.793148179317</v>
      </c>
      <c r="E11" s="85">
        <v>242.95474450766301</v>
      </c>
      <c r="F11" s="85">
        <v>298.00053713072202</v>
      </c>
      <c r="G11" s="85">
        <v>365.913000468436</v>
      </c>
      <c r="H11" s="85">
        <v>284.439913000491</v>
      </c>
      <c r="I11" s="79">
        <f t="shared" si="0"/>
        <v>-0.22265699049676957</v>
      </c>
      <c r="J11" s="80">
        <f t="shared" si="1"/>
        <v>275.62026865732582</v>
      </c>
      <c r="K11" s="79">
        <f t="shared" si="2"/>
        <v>3.1999258930156982E-2</v>
      </c>
      <c r="L11" s="81" t="s">
        <v>360</v>
      </c>
      <c r="M11" s="104" t="s">
        <v>376</v>
      </c>
    </row>
    <row r="12" spans="1:13" x14ac:dyDescent="0.25">
      <c r="A12" s="98" t="s">
        <v>350</v>
      </c>
      <c r="B12" s="76"/>
      <c r="C12" s="99" t="s">
        <v>85</v>
      </c>
      <c r="D12" s="85">
        <v>263.16861585273801</v>
      </c>
      <c r="E12" s="85">
        <v>304.87575358876899</v>
      </c>
      <c r="F12" s="85">
        <v>367.81919067369103</v>
      </c>
      <c r="G12" s="85">
        <v>445.35945944203502</v>
      </c>
      <c r="H12" s="85">
        <v>368.491450382116</v>
      </c>
      <c r="I12" s="79">
        <f t="shared" si="0"/>
        <v>-0.17259767908875778</v>
      </c>
      <c r="J12" s="80">
        <f t="shared" si="1"/>
        <v>349.94289398786975</v>
      </c>
      <c r="K12" s="79">
        <f t="shared" si="2"/>
        <v>5.3004523632044886E-2</v>
      </c>
      <c r="L12" s="81" t="s">
        <v>360</v>
      </c>
      <c r="M12" s="104" t="s">
        <v>376</v>
      </c>
    </row>
    <row r="13" spans="1:13" x14ac:dyDescent="0.25">
      <c r="A13" s="162" t="s">
        <v>62</v>
      </c>
      <c r="B13" s="86" t="s">
        <v>63</v>
      </c>
      <c r="C13" s="99" t="s">
        <v>45</v>
      </c>
      <c r="D13" s="78">
        <v>1802.57511</v>
      </c>
      <c r="E13" s="78">
        <v>2103.456326</v>
      </c>
      <c r="F13" s="78">
        <v>1551.6980349999999</v>
      </c>
      <c r="G13" s="78">
        <v>1928.938463</v>
      </c>
      <c r="H13" s="78">
        <v>1890.788624</v>
      </c>
      <c r="I13" s="79">
        <f t="shared" si="0"/>
        <v>-1.9777634036425962E-2</v>
      </c>
      <c r="J13" s="80">
        <f t="shared" si="1"/>
        <v>1855.4913116000002</v>
      </c>
      <c r="K13" s="79">
        <f t="shared" si="2"/>
        <v>1.9023162317889142E-2</v>
      </c>
      <c r="L13" s="95" t="s">
        <v>346</v>
      </c>
      <c r="M13" s="97" t="s">
        <v>345</v>
      </c>
    </row>
    <row r="14" spans="1:13" x14ac:dyDescent="0.25">
      <c r="A14" s="162"/>
      <c r="B14" s="112" t="s">
        <v>330</v>
      </c>
      <c r="C14" s="99" t="s">
        <v>45</v>
      </c>
      <c r="D14" s="78">
        <v>500.51808799999998</v>
      </c>
      <c r="E14" s="78">
        <v>747.03017199999999</v>
      </c>
      <c r="F14" s="78">
        <v>497.83591200000001</v>
      </c>
      <c r="G14" s="78">
        <v>788.11124400000006</v>
      </c>
      <c r="H14" s="78">
        <v>808.88858600000003</v>
      </c>
      <c r="I14" s="79">
        <f t="shared" si="0"/>
        <v>2.6363463480797655E-2</v>
      </c>
      <c r="J14" s="80">
        <f t="shared" si="1"/>
        <v>668.4768004</v>
      </c>
      <c r="K14" s="79">
        <f t="shared" si="2"/>
        <v>0.21004735768837612</v>
      </c>
      <c r="L14" s="95" t="s">
        <v>346</v>
      </c>
      <c r="M14" s="97" t="s">
        <v>345</v>
      </c>
    </row>
    <row r="15" spans="1:13" x14ac:dyDescent="0.25">
      <c r="A15" s="162"/>
      <c r="B15" s="112" t="s">
        <v>331</v>
      </c>
      <c r="C15" s="99" t="s">
        <v>45</v>
      </c>
      <c r="D15" s="78">
        <v>401.82379700000001</v>
      </c>
      <c r="E15" s="78">
        <v>412.29277200000001</v>
      </c>
      <c r="F15" s="78">
        <v>334.40634699999998</v>
      </c>
      <c r="G15" s="78">
        <v>323.73936400000002</v>
      </c>
      <c r="H15" s="78">
        <v>258.19449800000001</v>
      </c>
      <c r="I15" s="79">
        <f t="shared" si="0"/>
        <v>-0.2024618359354039</v>
      </c>
      <c r="J15" s="80">
        <f t="shared" si="1"/>
        <v>346.09135559999999</v>
      </c>
      <c r="K15" s="79">
        <f t="shared" si="2"/>
        <v>-0.25397010407156206</v>
      </c>
      <c r="L15" s="95" t="s">
        <v>346</v>
      </c>
      <c r="M15" s="97" t="s">
        <v>345</v>
      </c>
    </row>
    <row r="16" spans="1:13" x14ac:dyDescent="0.25">
      <c r="A16" s="162"/>
      <c r="B16" s="112" t="s">
        <v>338</v>
      </c>
      <c r="C16" s="99" t="s">
        <v>45</v>
      </c>
      <c r="D16" s="78">
        <v>267.38518199999999</v>
      </c>
      <c r="E16" s="78">
        <v>328.57691699999998</v>
      </c>
      <c r="F16" s="78">
        <v>201.101641</v>
      </c>
      <c r="G16" s="78">
        <v>207.77028999999999</v>
      </c>
      <c r="H16" s="78">
        <v>220.40350100000001</v>
      </c>
      <c r="I16" s="79">
        <f t="shared" si="0"/>
        <v>6.0803741478148821E-2</v>
      </c>
      <c r="J16" s="80">
        <f t="shared" si="1"/>
        <v>245.04750619999999</v>
      </c>
      <c r="K16" s="79">
        <f t="shared" si="2"/>
        <v>-0.10056827585050521</v>
      </c>
      <c r="L16" s="95" t="s">
        <v>346</v>
      </c>
      <c r="M16" s="97" t="s">
        <v>345</v>
      </c>
    </row>
    <row r="17" spans="1:13" x14ac:dyDescent="0.25">
      <c r="A17" s="98" t="s">
        <v>64</v>
      </c>
      <c r="B17" s="86" t="s">
        <v>63</v>
      </c>
      <c r="C17" s="99" t="s">
        <v>45</v>
      </c>
      <c r="D17" s="78">
        <v>6.20261905</v>
      </c>
      <c r="E17" s="78">
        <v>7.7520124099999999</v>
      </c>
      <c r="F17" s="78">
        <v>24.422131149999998</v>
      </c>
      <c r="G17" s="78">
        <v>23.7640779</v>
      </c>
      <c r="H17" s="78">
        <v>18.581478180000001</v>
      </c>
      <c r="I17" s="79">
        <f t="shared" si="0"/>
        <v>-0.21808545409624325</v>
      </c>
      <c r="J17" s="80">
        <f t="shared" si="1"/>
        <v>16.144463738000002</v>
      </c>
      <c r="K17" s="79">
        <f t="shared" si="2"/>
        <v>0.15095047327362643</v>
      </c>
      <c r="L17" s="95" t="s">
        <v>346</v>
      </c>
      <c r="M17" s="97" t="s">
        <v>345</v>
      </c>
    </row>
    <row r="18" spans="1:13" x14ac:dyDescent="0.25">
      <c r="A18" s="98" t="s">
        <v>301</v>
      </c>
      <c r="B18" s="86" t="s">
        <v>63</v>
      </c>
      <c r="C18" s="99" t="s">
        <v>45</v>
      </c>
      <c r="D18" s="78">
        <f>+D13-D17</f>
        <v>1796.3724909499999</v>
      </c>
      <c r="E18" s="78">
        <f t="shared" ref="E18:H18" si="3">+E13-E17</f>
        <v>2095.7043135899999</v>
      </c>
      <c r="F18" s="78">
        <f t="shared" si="3"/>
        <v>1527.2759038499998</v>
      </c>
      <c r="G18" s="78">
        <f t="shared" si="3"/>
        <v>1905.1743850999999</v>
      </c>
      <c r="H18" s="78">
        <f t="shared" si="3"/>
        <v>1872.2071458200001</v>
      </c>
      <c r="I18" s="79">
        <f t="shared" si="0"/>
        <v>-1.7304053391558383E-2</v>
      </c>
      <c r="J18" s="80">
        <f t="shared" si="1"/>
        <v>1839.3468478620002</v>
      </c>
      <c r="K18" s="79">
        <f t="shared" si="2"/>
        <v>1.7865199266900333E-2</v>
      </c>
      <c r="L18" s="95" t="s">
        <v>346</v>
      </c>
      <c r="M18" s="97" t="s">
        <v>345</v>
      </c>
    </row>
    <row r="19" spans="1:13" x14ac:dyDescent="0.25">
      <c r="A19" s="13" t="s">
        <v>294</v>
      </c>
    </row>
    <row r="20" spans="1:13" x14ac:dyDescent="0.25">
      <c r="A20" s="13" t="s">
        <v>308</v>
      </c>
    </row>
    <row r="21" spans="1:13" x14ac:dyDescent="0.25">
      <c r="A21" s="13" t="s">
        <v>271</v>
      </c>
    </row>
  </sheetData>
  <mergeCells count="1">
    <mergeCell ref="A13:A1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AB572-D742-49A2-B5A2-8FBD0664F323}">
  <sheetPr codeName="Sheet13"/>
  <dimension ref="A1:M19"/>
  <sheetViews>
    <sheetView workbookViewId="0">
      <selection activeCell="A17" sqref="A17"/>
    </sheetView>
  </sheetViews>
  <sheetFormatPr defaultRowHeight="15" x14ac:dyDescent="0.25"/>
  <cols>
    <col min="1" max="1" width="40.28515625" bestFit="1" customWidth="1"/>
    <col min="2" max="2" width="11.85546875" bestFit="1" customWidth="1"/>
    <col min="3" max="3" width="10.85546875" bestFit="1" customWidth="1"/>
    <col min="4" max="4" width="9.140625" bestFit="1" customWidth="1"/>
  </cols>
  <sheetData>
    <row r="1" spans="1:13" x14ac:dyDescent="0.25">
      <c r="A1" s="124" t="s">
        <v>258</v>
      </c>
      <c r="B1" s="124"/>
      <c r="C1" s="124"/>
      <c r="D1" s="124"/>
      <c r="E1" s="124"/>
      <c r="F1" s="124"/>
      <c r="G1" s="124"/>
      <c r="H1" s="124"/>
      <c r="I1" s="124"/>
      <c r="J1" s="124"/>
      <c r="K1" s="124"/>
      <c r="L1" s="124"/>
      <c r="M1" s="124"/>
    </row>
    <row r="2" spans="1:13" x14ac:dyDescent="0.25">
      <c r="A2" s="125" t="s">
        <v>52</v>
      </c>
      <c r="B2" s="119" t="s">
        <v>53</v>
      </c>
      <c r="C2" s="126" t="s">
        <v>44</v>
      </c>
      <c r="D2" s="119" t="str">
        <f>+'Gross Value of Production'!C1</f>
        <v>2018-19</v>
      </c>
      <c r="E2" s="119" t="str">
        <f>+'Gross Value of Production'!D1</f>
        <v>2019-20</v>
      </c>
      <c r="F2" s="119" t="str">
        <f>+'Gross Value of Production'!E1</f>
        <v>2020-21</v>
      </c>
      <c r="G2" s="119" t="str">
        <f>+'Gross Value of Production'!F1</f>
        <v>2021-22s</v>
      </c>
      <c r="H2" s="119" t="str">
        <f>+'Gross Value of Production'!G1</f>
        <v>2022-23e</v>
      </c>
      <c r="I2" s="121" t="s">
        <v>47</v>
      </c>
      <c r="J2" s="121" t="s">
        <v>65</v>
      </c>
      <c r="K2" s="121" t="s">
        <v>49</v>
      </c>
      <c r="L2" s="122" t="s">
        <v>50</v>
      </c>
      <c r="M2" s="123" t="s">
        <v>51</v>
      </c>
    </row>
    <row r="3" spans="1:13" x14ac:dyDescent="0.25">
      <c r="A3" s="75" t="s">
        <v>215</v>
      </c>
      <c r="B3" s="76"/>
      <c r="C3" s="77" t="s">
        <v>45</v>
      </c>
      <c r="D3" s="78">
        <v>1100.4796549</v>
      </c>
      <c r="E3" s="78">
        <v>1359.9500029999999</v>
      </c>
      <c r="F3" s="78">
        <v>1262.4716682000001</v>
      </c>
      <c r="G3" s="78">
        <v>1484.794792164907</v>
      </c>
      <c r="H3" s="78">
        <v>1401.4167512085123</v>
      </c>
      <c r="I3" s="79">
        <f t="shared" ref="I3:I16" si="0">IF(ISBLANK(H3),"N/A",IF(ISNA(H3/G3-1),"N/A",IF(ISERROR(H3/G3-1),"N/A",H3/G3-1)))</f>
        <v>-5.6154588766320512E-2</v>
      </c>
      <c r="J3" s="80">
        <f t="shared" ref="J3:J16" si="1">IF(ISBLANK(H3),"",IF(ISNA(AVERAGE(D3:H3)),"N/A",IF(ISERROR(AVERAGE(D3:H3)),"N/A",AVERAGE(D3:H3))))</f>
        <v>1321.8225738946837</v>
      </c>
      <c r="K3" s="79">
        <f t="shared" ref="K3:K16" si="2">IF(ISBLANK(H3),"",IF(ISNA(H3/AVERAGE(D3:H3)-1),"N/A",IF(ISERROR(H3/AVERAGE(D3:H3)-1),"N/A",H3/AVERAGE(D3:H3)-1)))</f>
        <v>6.0215477391423633E-2</v>
      </c>
      <c r="L3" s="95" t="s">
        <v>352</v>
      </c>
      <c r="M3" s="97" t="s">
        <v>353</v>
      </c>
    </row>
    <row r="4" spans="1:13" x14ac:dyDescent="0.25">
      <c r="A4" s="75" t="s">
        <v>216</v>
      </c>
      <c r="B4" s="76"/>
      <c r="C4" s="77" t="s">
        <v>118</v>
      </c>
      <c r="D4" s="84">
        <v>22.36641625</v>
      </c>
      <c r="E4" s="84">
        <v>20.371834920000001</v>
      </c>
      <c r="F4" s="84">
        <v>24.71153365</v>
      </c>
      <c r="G4" s="85">
        <v>27.148736080838219</v>
      </c>
      <c r="H4" s="85" t="s">
        <v>151</v>
      </c>
      <c r="I4" s="79" t="str">
        <f t="shared" si="0"/>
        <v>N/A</v>
      </c>
      <c r="J4" s="80">
        <f t="shared" si="1"/>
        <v>23.649630225209552</v>
      </c>
      <c r="K4" s="79" t="str">
        <f t="shared" si="2"/>
        <v>N/A</v>
      </c>
      <c r="L4" s="81" t="s">
        <v>377</v>
      </c>
      <c r="M4" s="82" t="s">
        <v>378</v>
      </c>
    </row>
    <row r="5" spans="1:13" x14ac:dyDescent="0.25">
      <c r="A5" s="75" t="s">
        <v>217</v>
      </c>
      <c r="B5" s="76"/>
      <c r="C5" s="77" t="s">
        <v>118</v>
      </c>
      <c r="D5" s="84">
        <v>5.3066032699999992</v>
      </c>
      <c r="E5" s="85" t="s">
        <v>151</v>
      </c>
      <c r="F5" s="85">
        <v>6.2350110700000005</v>
      </c>
      <c r="G5" s="85" t="s">
        <v>151</v>
      </c>
      <c r="H5" s="85" t="s">
        <v>151</v>
      </c>
      <c r="I5" s="79" t="str">
        <f t="shared" si="0"/>
        <v>N/A</v>
      </c>
      <c r="J5" s="80">
        <f t="shared" si="1"/>
        <v>5.7708071699999994</v>
      </c>
      <c r="K5" s="79" t="str">
        <f t="shared" si="2"/>
        <v>N/A</v>
      </c>
      <c r="L5" s="81" t="s">
        <v>377</v>
      </c>
      <c r="M5" s="82" t="s">
        <v>378</v>
      </c>
    </row>
    <row r="6" spans="1:13" x14ac:dyDescent="0.25">
      <c r="A6" s="75" t="s">
        <v>253</v>
      </c>
      <c r="B6" s="76"/>
      <c r="C6" s="77" t="s">
        <v>118</v>
      </c>
      <c r="D6" s="84">
        <v>10.156089099999999</v>
      </c>
      <c r="E6" s="84">
        <v>12.165429919999999</v>
      </c>
      <c r="F6" s="84">
        <v>12.207196570000001</v>
      </c>
      <c r="G6" s="85" t="s">
        <v>151</v>
      </c>
      <c r="H6" s="85" t="s">
        <v>151</v>
      </c>
      <c r="I6" s="79" t="str">
        <f t="shared" si="0"/>
        <v>N/A</v>
      </c>
      <c r="J6" s="80">
        <f t="shared" si="1"/>
        <v>11.509571863333333</v>
      </c>
      <c r="K6" s="79" t="str">
        <f t="shared" si="2"/>
        <v>N/A</v>
      </c>
      <c r="L6" s="81" t="s">
        <v>377</v>
      </c>
      <c r="M6" s="82" t="s">
        <v>378</v>
      </c>
    </row>
    <row r="7" spans="1:13" x14ac:dyDescent="0.25">
      <c r="A7" s="75" t="s">
        <v>218</v>
      </c>
      <c r="B7" s="76"/>
      <c r="C7" s="83" t="s">
        <v>59</v>
      </c>
      <c r="D7" s="85">
        <v>119.346</v>
      </c>
      <c r="E7" s="85">
        <v>123.467</v>
      </c>
      <c r="F7" s="85">
        <v>136.822</v>
      </c>
      <c r="G7" s="85">
        <v>134.56800000000001</v>
      </c>
      <c r="H7" s="85">
        <v>138.04499999999999</v>
      </c>
      <c r="I7" s="79">
        <f t="shared" si="0"/>
        <v>2.5838237916889328E-2</v>
      </c>
      <c r="J7" s="80">
        <f t="shared" si="1"/>
        <v>130.44959999999998</v>
      </c>
      <c r="K7" s="79">
        <f t="shared" si="2"/>
        <v>5.8224785664348744E-2</v>
      </c>
      <c r="L7" s="81" t="s">
        <v>382</v>
      </c>
      <c r="M7" s="82" t="s">
        <v>383</v>
      </c>
    </row>
    <row r="8" spans="1:13" x14ac:dyDescent="0.25">
      <c r="A8" s="75" t="s">
        <v>219</v>
      </c>
      <c r="B8" s="76"/>
      <c r="C8" s="83" t="s">
        <v>59</v>
      </c>
      <c r="D8" s="85">
        <v>68.19</v>
      </c>
      <c r="E8" s="85">
        <v>69.896000000000001</v>
      </c>
      <c r="F8" s="85">
        <v>46.707000000000001</v>
      </c>
      <c r="G8" s="85">
        <v>59.908000000000001</v>
      </c>
      <c r="H8" s="85">
        <v>79.456999999999994</v>
      </c>
      <c r="I8" s="79">
        <f t="shared" si="0"/>
        <v>0.32631701942979219</v>
      </c>
      <c r="J8" s="80">
        <f t="shared" si="1"/>
        <v>64.831600000000009</v>
      </c>
      <c r="K8" s="79">
        <f t="shared" si="2"/>
        <v>0.22559060704964828</v>
      </c>
      <c r="L8" s="81" t="s">
        <v>382</v>
      </c>
      <c r="M8" s="82" t="s">
        <v>383</v>
      </c>
    </row>
    <row r="9" spans="1:13" x14ac:dyDescent="0.25">
      <c r="A9" s="75" t="s">
        <v>220</v>
      </c>
      <c r="B9" s="76"/>
      <c r="C9" s="77" t="s">
        <v>85</v>
      </c>
      <c r="D9" s="85">
        <v>747.07295349774995</v>
      </c>
      <c r="E9" s="85">
        <v>840.38770688319698</v>
      </c>
      <c r="F9" s="85">
        <v>776.53402519328904</v>
      </c>
      <c r="G9" s="85">
        <v>860.41358651089695</v>
      </c>
      <c r="H9" s="85">
        <v>729.59111905213899</v>
      </c>
      <c r="I9" s="79">
        <f t="shared" si="0"/>
        <v>-0.15204602706154635</v>
      </c>
      <c r="J9" s="80">
        <f t="shared" si="1"/>
        <v>790.79987822745443</v>
      </c>
      <c r="K9" s="79">
        <f t="shared" si="2"/>
        <v>-7.7401073091351913E-2</v>
      </c>
      <c r="L9" s="81" t="s">
        <v>360</v>
      </c>
      <c r="M9" s="104" t="s">
        <v>376</v>
      </c>
    </row>
    <row r="10" spans="1:13" x14ac:dyDescent="0.25">
      <c r="A10" s="75" t="s">
        <v>221</v>
      </c>
      <c r="B10" s="76"/>
      <c r="C10" s="77" t="s">
        <v>85</v>
      </c>
      <c r="D10" s="85">
        <v>453.01172244472701</v>
      </c>
      <c r="E10" s="85">
        <v>591.38974481964499</v>
      </c>
      <c r="F10" s="85">
        <v>607.52225134826904</v>
      </c>
      <c r="G10" s="85">
        <v>604.79508085491398</v>
      </c>
      <c r="H10" s="85">
        <v>402.43221648004101</v>
      </c>
      <c r="I10" s="79">
        <f t="shared" si="0"/>
        <v>-0.33459740460987375</v>
      </c>
      <c r="J10" s="80">
        <f t="shared" si="1"/>
        <v>531.83020318951924</v>
      </c>
      <c r="K10" s="79">
        <f t="shared" si="2"/>
        <v>-0.24330695386130008</v>
      </c>
      <c r="L10" s="81" t="s">
        <v>360</v>
      </c>
      <c r="M10" s="104" t="s">
        <v>376</v>
      </c>
    </row>
    <row r="11" spans="1:13" x14ac:dyDescent="0.25">
      <c r="A11" s="164" t="s">
        <v>62</v>
      </c>
      <c r="B11" s="86" t="s">
        <v>63</v>
      </c>
      <c r="C11" s="77" t="s">
        <v>45</v>
      </c>
      <c r="D11" s="78">
        <v>927.05228799999998</v>
      </c>
      <c r="E11" s="78">
        <v>1097.935342</v>
      </c>
      <c r="F11" s="78">
        <v>1051.4326000000001</v>
      </c>
      <c r="G11" s="78">
        <v>1352.3337180000001</v>
      </c>
      <c r="H11" s="78">
        <v>1326.7030339999999</v>
      </c>
      <c r="I11" s="79">
        <f t="shared" si="0"/>
        <v>-1.8952928303751837E-2</v>
      </c>
      <c r="J11" s="80">
        <f t="shared" si="1"/>
        <v>1151.0913964000001</v>
      </c>
      <c r="K11" s="79">
        <f t="shared" si="2"/>
        <v>0.15256098529553719</v>
      </c>
      <c r="L11" s="95" t="s">
        <v>346</v>
      </c>
      <c r="M11" s="97" t="s">
        <v>345</v>
      </c>
    </row>
    <row r="12" spans="1:13" x14ac:dyDescent="0.25">
      <c r="A12" s="164"/>
      <c r="B12" s="88" t="s">
        <v>330</v>
      </c>
      <c r="C12" s="77" t="s">
        <v>45</v>
      </c>
      <c r="D12" s="78">
        <v>350.99996499999997</v>
      </c>
      <c r="E12" s="78">
        <v>482.13167399999998</v>
      </c>
      <c r="F12" s="78">
        <v>454.601159</v>
      </c>
      <c r="G12" s="78">
        <v>514.72879</v>
      </c>
      <c r="H12" s="78">
        <v>581.67495699999995</v>
      </c>
      <c r="I12" s="79">
        <f t="shared" si="0"/>
        <v>0.13006105020859615</v>
      </c>
      <c r="J12" s="80">
        <f t="shared" si="1"/>
        <v>476.82730900000007</v>
      </c>
      <c r="K12" s="79">
        <f t="shared" si="2"/>
        <v>0.21988599650444907</v>
      </c>
      <c r="L12" s="95" t="s">
        <v>346</v>
      </c>
      <c r="M12" s="97" t="s">
        <v>345</v>
      </c>
    </row>
    <row r="13" spans="1:13" x14ac:dyDescent="0.25">
      <c r="A13" s="164"/>
      <c r="B13" s="88" t="s">
        <v>338</v>
      </c>
      <c r="C13" s="77" t="s">
        <v>45</v>
      </c>
      <c r="D13" s="78">
        <v>237.47554500000001</v>
      </c>
      <c r="E13" s="78">
        <v>264.10393299999998</v>
      </c>
      <c r="F13" s="78">
        <v>260.49198999999999</v>
      </c>
      <c r="G13" s="78">
        <v>348.40489500000001</v>
      </c>
      <c r="H13" s="78">
        <v>316.817634</v>
      </c>
      <c r="I13" s="79">
        <f t="shared" si="0"/>
        <v>-9.0662506334763249E-2</v>
      </c>
      <c r="J13" s="80">
        <f t="shared" si="1"/>
        <v>285.45879939999998</v>
      </c>
      <c r="K13" s="79">
        <f t="shared" si="2"/>
        <v>0.10985415291422962</v>
      </c>
      <c r="L13" s="95" t="s">
        <v>346</v>
      </c>
      <c r="M13" s="97" t="s">
        <v>345</v>
      </c>
    </row>
    <row r="14" spans="1:13" x14ac:dyDescent="0.25">
      <c r="A14" s="164"/>
      <c r="B14" s="88" t="s">
        <v>417</v>
      </c>
      <c r="C14" s="77" t="s">
        <v>45</v>
      </c>
      <c r="D14" s="78">
        <v>41.321618000000001</v>
      </c>
      <c r="E14" s="78">
        <v>47.905771999999999</v>
      </c>
      <c r="F14" s="78">
        <v>71.502419000000003</v>
      </c>
      <c r="G14" s="78">
        <v>85.743803999999997</v>
      </c>
      <c r="H14" s="78">
        <v>113.656991</v>
      </c>
      <c r="I14" s="79">
        <f t="shared" si="0"/>
        <v>0.32554173826950827</v>
      </c>
      <c r="J14" s="80">
        <f t="shared" si="1"/>
        <v>72.026120800000001</v>
      </c>
      <c r="K14" s="79">
        <f t="shared" si="2"/>
        <v>0.57799683972429072</v>
      </c>
      <c r="L14" s="95" t="s">
        <v>346</v>
      </c>
      <c r="M14" s="97" t="s">
        <v>345</v>
      </c>
    </row>
    <row r="15" spans="1:13" x14ac:dyDescent="0.25">
      <c r="A15" s="75" t="s">
        <v>64</v>
      </c>
      <c r="B15" s="86" t="s">
        <v>63</v>
      </c>
      <c r="C15" s="77" t="s">
        <v>45</v>
      </c>
      <c r="D15" s="78">
        <v>0.87896863000000003</v>
      </c>
      <c r="E15" s="78">
        <v>1.04898867</v>
      </c>
      <c r="F15" s="78">
        <v>3.1704763499999995</v>
      </c>
      <c r="G15" s="78">
        <v>2.5932112799999998</v>
      </c>
      <c r="H15" s="78">
        <v>2.3239632700000001</v>
      </c>
      <c r="I15" s="79">
        <f t="shared" si="0"/>
        <v>-0.10382802669283453</v>
      </c>
      <c r="J15" s="80">
        <f t="shared" si="1"/>
        <v>2.0031216399999998</v>
      </c>
      <c r="K15" s="79">
        <f t="shared" si="2"/>
        <v>0.16017081718512127</v>
      </c>
      <c r="L15" s="95" t="s">
        <v>346</v>
      </c>
      <c r="M15" s="97" t="s">
        <v>345</v>
      </c>
    </row>
    <row r="16" spans="1:13" x14ac:dyDescent="0.25">
      <c r="A16" s="89" t="s">
        <v>301</v>
      </c>
      <c r="B16" s="90" t="s">
        <v>63</v>
      </c>
      <c r="C16" s="91" t="s">
        <v>45</v>
      </c>
      <c r="D16" s="78">
        <f>+D11-D15</f>
        <v>926.17331936999994</v>
      </c>
      <c r="E16" s="78">
        <f t="shared" ref="E16:H16" si="3">+E11-E15</f>
        <v>1096.88635333</v>
      </c>
      <c r="F16" s="78">
        <f t="shared" si="3"/>
        <v>1048.2621236500001</v>
      </c>
      <c r="G16" s="78">
        <f t="shared" si="3"/>
        <v>1349.74050672</v>
      </c>
      <c r="H16" s="78">
        <f t="shared" si="3"/>
        <v>1324.37907073</v>
      </c>
      <c r="I16" s="79">
        <f t="shared" si="0"/>
        <v>-1.8789860616712728E-2</v>
      </c>
      <c r="J16" s="80">
        <f t="shared" si="1"/>
        <v>1149.0882747600001</v>
      </c>
      <c r="K16" s="79">
        <f t="shared" si="2"/>
        <v>0.15254771963155855</v>
      </c>
      <c r="L16" s="95" t="s">
        <v>346</v>
      </c>
      <c r="M16" s="97" t="s">
        <v>345</v>
      </c>
    </row>
    <row r="17" spans="1:1" x14ac:dyDescent="0.25">
      <c r="A17" s="13" t="s">
        <v>294</v>
      </c>
    </row>
    <row r="18" spans="1:1" x14ac:dyDescent="0.25">
      <c r="A18" s="13" t="s">
        <v>308</v>
      </c>
    </row>
    <row r="19" spans="1:1" x14ac:dyDescent="0.25">
      <c r="A19" s="13" t="s">
        <v>271</v>
      </c>
    </row>
  </sheetData>
  <mergeCells count="1">
    <mergeCell ref="A11:A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F68CD-6820-4CCF-87A9-7AD301B3BDFA}">
  <sheetPr codeName="Sheet14"/>
  <dimension ref="A1:M14"/>
  <sheetViews>
    <sheetView workbookViewId="0">
      <selection activeCell="A14" sqref="A14"/>
    </sheetView>
  </sheetViews>
  <sheetFormatPr defaultRowHeight="15" x14ac:dyDescent="0.25"/>
  <cols>
    <col min="1" max="1" width="35" bestFit="1" customWidth="1"/>
  </cols>
  <sheetData>
    <row r="1" spans="1:13" x14ac:dyDescent="0.25">
      <c r="A1" s="124" t="s">
        <v>257</v>
      </c>
      <c r="B1" s="124"/>
      <c r="C1" s="124"/>
      <c r="D1" s="124"/>
      <c r="E1" s="124"/>
      <c r="F1" s="124"/>
      <c r="G1" s="124"/>
      <c r="H1" s="124"/>
      <c r="I1" s="124"/>
      <c r="J1" s="124"/>
      <c r="K1" s="124"/>
      <c r="L1" s="124"/>
      <c r="M1" s="124"/>
    </row>
    <row r="2" spans="1:13" x14ac:dyDescent="0.25">
      <c r="A2" s="125" t="s">
        <v>52</v>
      </c>
      <c r="B2" s="119" t="s">
        <v>53</v>
      </c>
      <c r="C2" s="126" t="s">
        <v>44</v>
      </c>
      <c r="D2" s="119" t="str">
        <f>+'Gross Value of Production'!C1</f>
        <v>2018-19</v>
      </c>
      <c r="E2" s="119" t="str">
        <f>+'Gross Value of Production'!D1</f>
        <v>2019-20</v>
      </c>
      <c r="F2" s="119" t="str">
        <f>+'Gross Value of Production'!E1</f>
        <v>2020-21</v>
      </c>
      <c r="G2" s="119" t="str">
        <f>+'Gross Value of Production'!F1</f>
        <v>2021-22s</v>
      </c>
      <c r="H2" s="119" t="str">
        <f>+'Gross Value of Production'!G1</f>
        <v>2022-23e</v>
      </c>
      <c r="I2" s="121" t="s">
        <v>47</v>
      </c>
      <c r="J2" s="121" t="s">
        <v>65</v>
      </c>
      <c r="K2" s="121" t="s">
        <v>49</v>
      </c>
      <c r="L2" s="122" t="s">
        <v>50</v>
      </c>
      <c r="M2" s="123" t="s">
        <v>51</v>
      </c>
    </row>
    <row r="3" spans="1:13" x14ac:dyDescent="0.25">
      <c r="A3" s="75" t="s">
        <v>311</v>
      </c>
      <c r="B3" s="76"/>
      <c r="C3" s="77" t="s">
        <v>45</v>
      </c>
      <c r="D3" s="78">
        <v>6.6974224500000004</v>
      </c>
      <c r="E3" s="78">
        <v>10.254192029999999</v>
      </c>
      <c r="F3" s="78">
        <v>7.6492673799999995</v>
      </c>
      <c r="G3" s="78">
        <v>7.7224672587394281</v>
      </c>
      <c r="H3" s="78">
        <v>21.904241017692346</v>
      </c>
      <c r="I3" s="79">
        <f t="shared" ref="I3:I11" si="0">IF(ISBLANK(H3),"N/A",IF(ISNA(H3/G3-1),"N/A",IF(ISERROR(H3/G3-1),"N/A",H3/G3-1)))</f>
        <v>1.8364304157979521</v>
      </c>
      <c r="J3" s="80">
        <f t="shared" ref="J3:J11" si="1">IF(ISBLANK(H3),"",IF(ISNA(AVERAGE(D3:H3)),"N/A",IF(ISERROR(AVERAGE(D3:H3)),"N/A",AVERAGE(D3:H3))))</f>
        <v>10.845518027286355</v>
      </c>
      <c r="K3" s="79">
        <f t="shared" ref="K3:K11" si="2">IF(ISBLANK(H3),"",IF(ISNA(H3/AVERAGE(D3:H3)-1),"N/A",IF(ISERROR(H3/AVERAGE(D3:H3)-1),"N/A",H3/AVERAGE(D3:H3)-1)))</f>
        <v>1.0196583475849867</v>
      </c>
      <c r="L3" s="95" t="s">
        <v>352</v>
      </c>
      <c r="M3" s="97" t="s">
        <v>353</v>
      </c>
    </row>
    <row r="4" spans="1:13" x14ac:dyDescent="0.25">
      <c r="A4" s="75" t="s">
        <v>312</v>
      </c>
      <c r="B4" s="76"/>
      <c r="C4" s="83" t="s">
        <v>222</v>
      </c>
      <c r="D4" s="106">
        <v>884</v>
      </c>
      <c r="E4" s="106">
        <v>1086</v>
      </c>
      <c r="F4" s="106">
        <v>339</v>
      </c>
      <c r="G4" s="106">
        <v>477</v>
      </c>
      <c r="H4" s="81">
        <v>2524</v>
      </c>
      <c r="I4" s="79">
        <f t="shared" si="0"/>
        <v>4.2914046121593294</v>
      </c>
      <c r="J4" s="80">
        <f t="shared" si="1"/>
        <v>1062</v>
      </c>
      <c r="K4" s="79">
        <f t="shared" si="2"/>
        <v>1.3766478342749529</v>
      </c>
      <c r="L4" s="81" t="s">
        <v>382</v>
      </c>
      <c r="M4" s="82" t="s">
        <v>383</v>
      </c>
    </row>
    <row r="5" spans="1:13" x14ac:dyDescent="0.25">
      <c r="A5" s="75" t="s">
        <v>359</v>
      </c>
      <c r="B5" s="76"/>
      <c r="C5" s="77" t="s">
        <v>85</v>
      </c>
      <c r="D5" s="84">
        <v>630.75</v>
      </c>
      <c r="E5" s="84">
        <v>857.32</v>
      </c>
      <c r="F5" s="84">
        <v>814.78</v>
      </c>
      <c r="G5" s="84">
        <v>902.38</v>
      </c>
      <c r="H5" s="84">
        <v>493.42</v>
      </c>
      <c r="I5" s="79">
        <f t="shared" si="0"/>
        <v>-0.45320153372193528</v>
      </c>
      <c r="J5" s="80">
        <f t="shared" si="1"/>
        <v>739.73000000000013</v>
      </c>
      <c r="K5" s="79">
        <f t="shared" si="2"/>
        <v>-0.33297284144214789</v>
      </c>
      <c r="L5" s="81" t="s">
        <v>360</v>
      </c>
      <c r="M5" s="104" t="s">
        <v>376</v>
      </c>
    </row>
    <row r="6" spans="1:13" x14ac:dyDescent="0.25">
      <c r="A6" s="164" t="s">
        <v>62</v>
      </c>
      <c r="B6" s="86" t="s">
        <v>63</v>
      </c>
      <c r="C6" s="77" t="s">
        <v>45</v>
      </c>
      <c r="D6" s="78">
        <v>5.7913579999999998</v>
      </c>
      <c r="E6" s="78">
        <v>1.3317479999999999</v>
      </c>
      <c r="F6" s="78">
        <v>3.1523319999999999</v>
      </c>
      <c r="G6" s="78">
        <v>5.0812470000000003</v>
      </c>
      <c r="H6" s="78">
        <v>11.009693</v>
      </c>
      <c r="I6" s="79">
        <f t="shared" si="0"/>
        <v>1.1667305289429937</v>
      </c>
      <c r="J6" s="80">
        <f t="shared" si="1"/>
        <v>5.2732755999999998</v>
      </c>
      <c r="K6" s="79">
        <f t="shared" si="2"/>
        <v>1.0878281044138864</v>
      </c>
      <c r="L6" s="95" t="s">
        <v>346</v>
      </c>
      <c r="M6" s="97" t="s">
        <v>345</v>
      </c>
    </row>
    <row r="7" spans="1:13" x14ac:dyDescent="0.25">
      <c r="A7" s="164"/>
      <c r="B7" s="112" t="s">
        <v>338</v>
      </c>
      <c r="C7" s="77" t="s">
        <v>45</v>
      </c>
      <c r="D7" s="78">
        <v>0.12424499999999999</v>
      </c>
      <c r="E7" s="78">
        <v>0.63783999999999996</v>
      </c>
      <c r="F7" s="78">
        <v>1.340225</v>
      </c>
      <c r="G7" s="78">
        <v>3.5448569999999999</v>
      </c>
      <c r="H7" s="78">
        <v>3.6801499999999998</v>
      </c>
      <c r="I7" s="79">
        <f t="shared" si="0"/>
        <v>3.8165996540904246E-2</v>
      </c>
      <c r="J7" s="80">
        <f t="shared" si="1"/>
        <v>1.8654633999999999</v>
      </c>
      <c r="K7" s="79">
        <f t="shared" si="2"/>
        <v>0.97278059703556763</v>
      </c>
      <c r="L7" s="95" t="s">
        <v>346</v>
      </c>
      <c r="M7" s="97" t="s">
        <v>345</v>
      </c>
    </row>
    <row r="8" spans="1:13" x14ac:dyDescent="0.25">
      <c r="A8" s="164"/>
      <c r="B8" s="112" t="s">
        <v>417</v>
      </c>
      <c r="C8" s="77" t="s">
        <v>45</v>
      </c>
      <c r="D8" s="78">
        <v>0</v>
      </c>
      <c r="E8" s="78">
        <v>0</v>
      </c>
      <c r="F8" s="78">
        <v>0.27759600000000001</v>
      </c>
      <c r="G8" s="78">
        <v>0.271063</v>
      </c>
      <c r="H8" s="78">
        <v>3.4305460000000001</v>
      </c>
      <c r="I8" s="79">
        <f t="shared" si="0"/>
        <v>11.655899182108957</v>
      </c>
      <c r="J8" s="80">
        <f t="shared" si="1"/>
        <v>0.79584100000000002</v>
      </c>
      <c r="K8" s="79">
        <f t="shared" si="2"/>
        <v>3.310592191153761</v>
      </c>
      <c r="L8" s="95" t="s">
        <v>346</v>
      </c>
      <c r="M8" s="97" t="s">
        <v>345</v>
      </c>
    </row>
    <row r="9" spans="1:13" x14ac:dyDescent="0.25">
      <c r="A9" s="164"/>
      <c r="B9" s="112" t="s">
        <v>418</v>
      </c>
      <c r="C9" s="77" t="s">
        <v>45</v>
      </c>
      <c r="D9" s="78">
        <v>3.5063279999999999</v>
      </c>
      <c r="E9" s="78">
        <v>0</v>
      </c>
      <c r="F9" s="78">
        <v>0</v>
      </c>
      <c r="G9" s="78">
        <v>0.34047500000000003</v>
      </c>
      <c r="H9" s="78">
        <v>1.854012</v>
      </c>
      <c r="I9" s="79">
        <f t="shared" si="0"/>
        <v>4.4453689698215726</v>
      </c>
      <c r="J9" s="80">
        <f t="shared" si="1"/>
        <v>1.140163</v>
      </c>
      <c r="K9" s="79">
        <f t="shared" si="2"/>
        <v>0.62609381290219024</v>
      </c>
      <c r="L9" s="95" t="s">
        <v>346</v>
      </c>
      <c r="M9" s="97" t="s">
        <v>345</v>
      </c>
    </row>
    <row r="10" spans="1:13" x14ac:dyDescent="0.25">
      <c r="A10" s="75" t="s">
        <v>64</v>
      </c>
      <c r="B10" s="86" t="s">
        <v>63</v>
      </c>
      <c r="C10" s="77" t="s">
        <v>45</v>
      </c>
      <c r="D10" s="78">
        <v>0</v>
      </c>
      <c r="E10" s="78">
        <v>0</v>
      </c>
      <c r="F10" s="78">
        <v>0</v>
      </c>
      <c r="G10" s="78">
        <v>0</v>
      </c>
      <c r="H10" s="78">
        <v>0</v>
      </c>
      <c r="I10" s="79" t="str">
        <f t="shared" si="0"/>
        <v>N/A</v>
      </c>
      <c r="J10" s="80">
        <f t="shared" si="1"/>
        <v>0</v>
      </c>
      <c r="K10" s="79" t="str">
        <f t="shared" si="2"/>
        <v>N/A</v>
      </c>
      <c r="L10" s="95" t="s">
        <v>346</v>
      </c>
      <c r="M10" s="97" t="s">
        <v>345</v>
      </c>
    </row>
    <row r="11" spans="1:13" x14ac:dyDescent="0.25">
      <c r="A11" s="89" t="s">
        <v>301</v>
      </c>
      <c r="B11" s="90" t="s">
        <v>63</v>
      </c>
      <c r="C11" s="91" t="s">
        <v>45</v>
      </c>
      <c r="D11" s="78">
        <f>+D6-D10</f>
        <v>5.7913579999999998</v>
      </c>
      <c r="E11" s="78">
        <f t="shared" ref="E11:H11" si="3">+E6-E10</f>
        <v>1.3317479999999999</v>
      </c>
      <c r="F11" s="78">
        <f t="shared" si="3"/>
        <v>3.1523319999999999</v>
      </c>
      <c r="G11" s="78">
        <f t="shared" si="3"/>
        <v>5.0812470000000003</v>
      </c>
      <c r="H11" s="78">
        <f t="shared" si="3"/>
        <v>11.009693</v>
      </c>
      <c r="I11" s="79">
        <f t="shared" si="0"/>
        <v>1.1667305289429937</v>
      </c>
      <c r="J11" s="80">
        <f t="shared" si="1"/>
        <v>5.2732755999999998</v>
      </c>
      <c r="K11" s="79">
        <f t="shared" si="2"/>
        <v>1.0878281044138864</v>
      </c>
      <c r="L11" s="95" t="s">
        <v>346</v>
      </c>
      <c r="M11" s="97" t="s">
        <v>345</v>
      </c>
    </row>
    <row r="12" spans="1:13" x14ac:dyDescent="0.25">
      <c r="A12" s="13" t="s">
        <v>294</v>
      </c>
    </row>
    <row r="13" spans="1:13" x14ac:dyDescent="0.25">
      <c r="A13" s="13" t="s">
        <v>308</v>
      </c>
    </row>
    <row r="14" spans="1:13" x14ac:dyDescent="0.25">
      <c r="A14" s="13" t="s">
        <v>271</v>
      </c>
    </row>
  </sheetData>
  <mergeCells count="1">
    <mergeCell ref="A6:A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7CF9C-C142-4E6A-8E38-F36E7BC092C0}">
  <sheetPr codeName="Sheet15"/>
  <dimension ref="A1:M15"/>
  <sheetViews>
    <sheetView workbookViewId="0">
      <selection activeCell="A15" sqref="A15"/>
    </sheetView>
  </sheetViews>
  <sheetFormatPr defaultRowHeight="15" x14ac:dyDescent="0.25"/>
  <cols>
    <col min="1" max="1" width="20.28515625" bestFit="1" customWidth="1"/>
    <col min="2" max="2" width="16.42578125" bestFit="1" customWidth="1"/>
    <col min="3" max="3" width="10" bestFit="1" customWidth="1"/>
  </cols>
  <sheetData>
    <row r="1" spans="1:13" x14ac:dyDescent="0.25">
      <c r="A1" s="124" t="s">
        <v>17</v>
      </c>
      <c r="B1" s="124"/>
      <c r="C1" s="124"/>
      <c r="D1" s="124"/>
      <c r="E1" s="124"/>
      <c r="F1" s="124"/>
      <c r="G1" s="124"/>
      <c r="H1" s="124"/>
      <c r="I1" s="124"/>
      <c r="J1" s="124"/>
      <c r="K1" s="124"/>
      <c r="L1" s="124"/>
      <c r="M1" s="124"/>
    </row>
    <row r="2" spans="1:13" x14ac:dyDescent="0.25">
      <c r="A2" s="118" t="s">
        <v>52</v>
      </c>
      <c r="B2" s="119" t="s">
        <v>53</v>
      </c>
      <c r="C2" s="120" t="s">
        <v>44</v>
      </c>
      <c r="D2" s="119" t="str">
        <f>+'Gross Value of Production'!C1</f>
        <v>2018-19</v>
      </c>
      <c r="E2" s="119" t="str">
        <f>+'Gross Value of Production'!D1</f>
        <v>2019-20</v>
      </c>
      <c r="F2" s="119" t="str">
        <f>+'Gross Value of Production'!E1</f>
        <v>2020-21</v>
      </c>
      <c r="G2" s="119" t="str">
        <f>+'Gross Value of Production'!F1</f>
        <v>2021-22s</v>
      </c>
      <c r="H2" s="119" t="str">
        <f>+'Gross Value of Production'!G1</f>
        <v>2022-23e</v>
      </c>
      <c r="I2" s="121" t="s">
        <v>47</v>
      </c>
      <c r="J2" s="121" t="s">
        <v>65</v>
      </c>
      <c r="K2" s="121" t="s">
        <v>49</v>
      </c>
      <c r="L2" s="122" t="s">
        <v>50</v>
      </c>
      <c r="M2" s="123" t="s">
        <v>51</v>
      </c>
    </row>
    <row r="3" spans="1:13" x14ac:dyDescent="0.25">
      <c r="A3" s="98" t="s">
        <v>315</v>
      </c>
      <c r="B3" s="76"/>
      <c r="C3" s="99" t="s">
        <v>45</v>
      </c>
      <c r="D3" s="78">
        <v>193.76167734999999</v>
      </c>
      <c r="E3" s="78">
        <v>245.90688943999999</v>
      </c>
      <c r="F3" s="78">
        <v>251.78309056000001</v>
      </c>
      <c r="G3" s="78">
        <v>229.60424208033197</v>
      </c>
      <c r="H3" s="78">
        <v>246.48088401640661</v>
      </c>
      <c r="I3" s="93">
        <f t="shared" ref="I3:I12" si="0">IF(ISBLANK(H3),"N/A",IF(ISNA(H3/G3-1),"N/A",IF(ISERROR(H3/G3-1),"N/A",H3/G3-1)))</f>
        <v>7.3503180007318702E-2</v>
      </c>
      <c r="J3" s="94">
        <f t="shared" ref="J3:J12" si="1">IF(ISBLANK(H3),"",IF(ISNA(AVERAGE(D3:H3)),"N/A",IF(ISERROR(AVERAGE(D3:H3)),"N/A",AVERAGE(D3:H3))))</f>
        <v>233.50735668934772</v>
      </c>
      <c r="K3" s="93">
        <f t="shared" ref="K3:K12" si="2">IF(ISBLANK(H3),"",IF(ISNA(H3/AVERAGE(D3:H3)-1),"N/A",IF(ISERROR(H3/AVERAGE(D3:H3)-1),"N/A",H3/AVERAGE(D3:H3)-1)))</f>
        <v>5.5559394406226481E-2</v>
      </c>
      <c r="L3" s="95" t="s">
        <v>352</v>
      </c>
      <c r="M3" s="97" t="s">
        <v>353</v>
      </c>
    </row>
    <row r="4" spans="1:13" x14ac:dyDescent="0.25">
      <c r="A4" s="98" t="s">
        <v>223</v>
      </c>
      <c r="B4" s="76"/>
      <c r="C4" s="100" t="s">
        <v>76</v>
      </c>
      <c r="D4" s="85">
        <v>443.42899999999997</v>
      </c>
      <c r="E4" s="85">
        <v>435.38722999999999</v>
      </c>
      <c r="F4" s="85">
        <v>543.33548999999994</v>
      </c>
      <c r="G4" s="151" t="s">
        <v>151</v>
      </c>
      <c r="H4" s="151" t="s">
        <v>151</v>
      </c>
      <c r="I4" s="93" t="str">
        <f t="shared" si="0"/>
        <v>N/A</v>
      </c>
      <c r="J4" s="94">
        <f t="shared" si="1"/>
        <v>474.05057333333326</v>
      </c>
      <c r="K4" s="93" t="str">
        <f t="shared" si="2"/>
        <v>N/A</v>
      </c>
      <c r="L4" s="81" t="s">
        <v>377</v>
      </c>
      <c r="M4" s="82" t="s">
        <v>378</v>
      </c>
    </row>
    <row r="5" spans="1:13" x14ac:dyDescent="0.25">
      <c r="A5" s="98" t="s">
        <v>224</v>
      </c>
      <c r="B5" s="76"/>
      <c r="C5" s="100" t="s">
        <v>59</v>
      </c>
      <c r="D5" s="84">
        <v>63.62</v>
      </c>
      <c r="E5" s="84">
        <v>62.795000000000002</v>
      </c>
      <c r="F5" s="84">
        <v>64.649000000000001</v>
      </c>
      <c r="G5" s="84">
        <v>61.643999999999998</v>
      </c>
      <c r="H5" s="84">
        <v>64.846000000000004</v>
      </c>
      <c r="I5" s="93">
        <f t="shared" si="0"/>
        <v>5.1943417039776785E-2</v>
      </c>
      <c r="J5" s="94">
        <f t="shared" si="1"/>
        <v>63.510799999999996</v>
      </c>
      <c r="K5" s="93">
        <f t="shared" si="2"/>
        <v>2.1023196054844373E-2</v>
      </c>
      <c r="L5" s="81" t="s">
        <v>382</v>
      </c>
      <c r="M5" s="82" t="s">
        <v>383</v>
      </c>
    </row>
    <row r="6" spans="1:13" x14ac:dyDescent="0.25">
      <c r="A6" s="98" t="s">
        <v>225</v>
      </c>
      <c r="B6" s="76"/>
      <c r="C6" s="99" t="s">
        <v>226</v>
      </c>
      <c r="D6" s="106">
        <v>294.75799999999998</v>
      </c>
      <c r="E6" s="106">
        <v>377.21899999999999</v>
      </c>
      <c r="F6" s="106">
        <v>360.11200000000002</v>
      </c>
      <c r="G6" s="106">
        <v>356.83800000000002</v>
      </c>
      <c r="H6" s="106">
        <v>377.47199999999998</v>
      </c>
      <c r="I6" s="93">
        <f t="shared" si="0"/>
        <v>5.782455904359951E-2</v>
      </c>
      <c r="J6" s="94">
        <f t="shared" si="1"/>
        <v>353.27979999999997</v>
      </c>
      <c r="K6" s="93">
        <f t="shared" si="2"/>
        <v>6.8478865760227547E-2</v>
      </c>
      <c r="L6" s="107" t="s">
        <v>357</v>
      </c>
      <c r="M6" s="97" t="s">
        <v>356</v>
      </c>
    </row>
    <row r="7" spans="1:13" x14ac:dyDescent="0.25">
      <c r="A7" s="162" t="s">
        <v>62</v>
      </c>
      <c r="B7" s="86" t="s">
        <v>63</v>
      </c>
      <c r="C7" s="99" t="s">
        <v>45</v>
      </c>
      <c r="D7" s="78">
        <v>30.080116</v>
      </c>
      <c r="E7" s="78">
        <v>23.306242999999998</v>
      </c>
      <c r="F7" s="78">
        <v>21.528462000000001</v>
      </c>
      <c r="G7" s="78">
        <v>20.642503999999999</v>
      </c>
      <c r="H7" s="78">
        <v>19.870729999999998</v>
      </c>
      <c r="I7" s="93">
        <f t="shared" si="0"/>
        <v>-3.7387615378444483E-2</v>
      </c>
      <c r="J7" s="94">
        <f t="shared" si="1"/>
        <v>23.085611</v>
      </c>
      <c r="K7" s="93">
        <f t="shared" si="2"/>
        <v>-0.13925908220492855</v>
      </c>
      <c r="L7" s="95" t="s">
        <v>346</v>
      </c>
      <c r="M7" s="97" t="s">
        <v>345</v>
      </c>
    </row>
    <row r="8" spans="1:13" x14ac:dyDescent="0.25">
      <c r="A8" s="162"/>
      <c r="B8" s="88" t="s">
        <v>416</v>
      </c>
      <c r="C8" s="99" t="s">
        <v>45</v>
      </c>
      <c r="D8" s="78">
        <v>9.4225779999999997</v>
      </c>
      <c r="E8" s="78">
        <v>7.3615170000000001</v>
      </c>
      <c r="F8" s="78">
        <v>8.8282710000000009</v>
      </c>
      <c r="G8" s="78">
        <v>6.5103749999999998</v>
      </c>
      <c r="H8" s="78">
        <v>4.9084099999999999</v>
      </c>
      <c r="I8" s="93">
        <f t="shared" si="0"/>
        <v>-0.24606339880575234</v>
      </c>
      <c r="J8" s="94">
        <f t="shared" si="1"/>
        <v>7.4062302000000013</v>
      </c>
      <c r="K8" s="93">
        <f t="shared" si="2"/>
        <v>-0.33725932526374902</v>
      </c>
      <c r="L8" s="95" t="s">
        <v>346</v>
      </c>
      <c r="M8" s="97" t="s">
        <v>345</v>
      </c>
    </row>
    <row r="9" spans="1:13" x14ac:dyDescent="0.25">
      <c r="A9" s="162"/>
      <c r="B9" s="88" t="s">
        <v>414</v>
      </c>
      <c r="C9" s="99" t="s">
        <v>45</v>
      </c>
      <c r="D9" s="78">
        <v>4.8186689999999999</v>
      </c>
      <c r="E9" s="78">
        <v>3.3838200000000001</v>
      </c>
      <c r="F9" s="78">
        <v>2.9607510000000001</v>
      </c>
      <c r="G9" s="78">
        <v>3.7111499999999999</v>
      </c>
      <c r="H9" s="78">
        <v>3.8666909999999999</v>
      </c>
      <c r="I9" s="93">
        <f t="shared" si="0"/>
        <v>4.1911806313406963E-2</v>
      </c>
      <c r="J9" s="94">
        <f t="shared" si="1"/>
        <v>3.7482162000000003</v>
      </c>
      <c r="K9" s="93">
        <f t="shared" si="2"/>
        <v>3.1608315443490076E-2</v>
      </c>
      <c r="L9" s="95" t="s">
        <v>346</v>
      </c>
      <c r="M9" s="97" t="s">
        <v>345</v>
      </c>
    </row>
    <row r="10" spans="1:13" x14ac:dyDescent="0.25">
      <c r="A10" s="162"/>
      <c r="B10" s="88" t="s">
        <v>419</v>
      </c>
      <c r="C10" s="99" t="s">
        <v>45</v>
      </c>
      <c r="D10" s="78">
        <v>3.9162129999999999</v>
      </c>
      <c r="E10" s="78">
        <v>1.777298</v>
      </c>
      <c r="F10" s="78">
        <v>2.1187659999999999</v>
      </c>
      <c r="G10" s="78">
        <v>3.086643</v>
      </c>
      <c r="H10" s="78">
        <v>2.6752989999999999</v>
      </c>
      <c r="I10" s="93">
        <f t="shared" si="0"/>
        <v>-0.13326581661695247</v>
      </c>
      <c r="J10" s="94">
        <f t="shared" si="1"/>
        <v>2.7148437999999997</v>
      </c>
      <c r="K10" s="93">
        <f t="shared" si="2"/>
        <v>-1.4566141890004825E-2</v>
      </c>
      <c r="L10" s="95" t="s">
        <v>346</v>
      </c>
      <c r="M10" s="97" t="s">
        <v>345</v>
      </c>
    </row>
    <row r="11" spans="1:13" x14ac:dyDescent="0.25">
      <c r="A11" s="98" t="s">
        <v>64</v>
      </c>
      <c r="B11" s="86" t="s">
        <v>63</v>
      </c>
      <c r="C11" s="99" t="s">
        <v>45</v>
      </c>
      <c r="D11" s="78">
        <v>168.35336942000001</v>
      </c>
      <c r="E11" s="78">
        <v>230.00815528000001</v>
      </c>
      <c r="F11" s="78">
        <v>174.49798494999999</v>
      </c>
      <c r="G11" s="78">
        <v>220.01334068</v>
      </c>
      <c r="H11" s="78">
        <v>234.84250713999998</v>
      </c>
      <c r="I11" s="93">
        <f t="shared" si="0"/>
        <v>6.7401214918000774E-2</v>
      </c>
      <c r="J11" s="94">
        <f t="shared" si="1"/>
        <v>205.543071494</v>
      </c>
      <c r="K11" s="93">
        <f t="shared" si="2"/>
        <v>0.14254645234711916</v>
      </c>
      <c r="L11" s="95" t="s">
        <v>346</v>
      </c>
      <c r="M11" s="97" t="s">
        <v>345</v>
      </c>
    </row>
    <row r="12" spans="1:13" x14ac:dyDescent="0.25">
      <c r="A12" s="98" t="s">
        <v>301</v>
      </c>
      <c r="B12" s="86" t="s">
        <v>63</v>
      </c>
      <c r="C12" s="99" t="s">
        <v>45</v>
      </c>
      <c r="D12" s="78">
        <f>+D7-D11</f>
        <v>-138.27325342</v>
      </c>
      <c r="E12" s="78">
        <f t="shared" ref="E12:H12" si="3">+E7-E11</f>
        <v>-206.70191228000002</v>
      </c>
      <c r="F12" s="78">
        <f t="shared" si="3"/>
        <v>-152.96952295</v>
      </c>
      <c r="G12" s="78">
        <f t="shared" si="3"/>
        <v>-199.37083668</v>
      </c>
      <c r="H12" s="78">
        <f t="shared" si="3"/>
        <v>-214.97177713999997</v>
      </c>
      <c r="I12" s="93">
        <f t="shared" si="0"/>
        <v>7.8250865170617967E-2</v>
      </c>
      <c r="J12" s="94">
        <f t="shared" si="1"/>
        <v>-182.457460494</v>
      </c>
      <c r="K12" s="93">
        <f t="shared" si="2"/>
        <v>0.17820217686888817</v>
      </c>
      <c r="L12" s="95" t="s">
        <v>346</v>
      </c>
      <c r="M12" s="97" t="s">
        <v>345</v>
      </c>
    </row>
    <row r="13" spans="1:13" x14ac:dyDescent="0.25">
      <c r="A13" s="13" t="s">
        <v>294</v>
      </c>
      <c r="B13" s="13"/>
      <c r="C13" s="13"/>
      <c r="D13" s="13"/>
      <c r="E13" s="13"/>
      <c r="F13" s="13"/>
      <c r="G13" s="13"/>
      <c r="H13" s="13"/>
      <c r="I13" s="13"/>
      <c r="J13" s="13"/>
      <c r="K13" s="13"/>
      <c r="L13" s="13"/>
      <c r="M13" s="13"/>
    </row>
    <row r="14" spans="1:13" x14ac:dyDescent="0.25">
      <c r="A14" s="13" t="s">
        <v>308</v>
      </c>
      <c r="B14" s="13"/>
      <c r="C14" s="13"/>
      <c r="D14" s="13"/>
      <c r="E14" s="13"/>
      <c r="F14" s="13"/>
      <c r="G14" s="13"/>
      <c r="H14" s="13"/>
      <c r="I14" s="13"/>
      <c r="J14" s="13"/>
      <c r="K14" s="13"/>
      <c r="L14" s="13"/>
      <c r="M14" s="13"/>
    </row>
    <row r="15" spans="1:13" x14ac:dyDescent="0.25">
      <c r="A15" s="13" t="s">
        <v>271</v>
      </c>
      <c r="B15" s="13"/>
      <c r="C15" s="13"/>
      <c r="D15" s="13"/>
      <c r="E15" s="13"/>
      <c r="F15" s="13"/>
      <c r="G15" s="13"/>
      <c r="H15" s="13"/>
      <c r="I15" s="13"/>
      <c r="J15" s="13"/>
      <c r="K15" s="13"/>
      <c r="L15" s="13"/>
      <c r="M15" s="13"/>
    </row>
  </sheetData>
  <mergeCells count="1">
    <mergeCell ref="A7:A10"/>
  </mergeCells>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CEC34-E4E5-45ED-A9B3-7C5CF38DC863}">
  <sheetPr codeName="Sheet16"/>
  <dimension ref="A1:M15"/>
  <sheetViews>
    <sheetView workbookViewId="0">
      <selection activeCell="A15" sqref="A15"/>
    </sheetView>
  </sheetViews>
  <sheetFormatPr defaultRowHeight="15" x14ac:dyDescent="0.25"/>
  <cols>
    <col min="1" max="1" width="20.7109375" customWidth="1"/>
    <col min="2" max="2" width="12.85546875" bestFit="1" customWidth="1"/>
    <col min="3" max="3" width="9.28515625" bestFit="1" customWidth="1"/>
  </cols>
  <sheetData>
    <row r="1" spans="1:13" x14ac:dyDescent="0.25">
      <c r="A1" s="124" t="s">
        <v>18</v>
      </c>
      <c r="B1" s="124"/>
      <c r="C1" s="124"/>
      <c r="D1" s="124"/>
      <c r="E1" s="124"/>
      <c r="F1" s="124"/>
      <c r="G1" s="124"/>
      <c r="H1" s="124"/>
      <c r="I1" s="124"/>
      <c r="J1" s="124"/>
      <c r="K1" s="124"/>
      <c r="L1" s="124"/>
      <c r="M1" s="124"/>
    </row>
    <row r="2" spans="1:13" x14ac:dyDescent="0.25">
      <c r="A2" s="118" t="s">
        <v>52</v>
      </c>
      <c r="B2" s="119" t="s">
        <v>53</v>
      </c>
      <c r="C2" s="120" t="s">
        <v>44</v>
      </c>
      <c r="D2" s="119" t="str">
        <f>+'Gross Value of Production'!C1</f>
        <v>2018-19</v>
      </c>
      <c r="E2" s="119" t="str">
        <f>+'Gross Value of Production'!D1</f>
        <v>2019-20</v>
      </c>
      <c r="F2" s="119" t="str">
        <f>+'Gross Value of Production'!E1</f>
        <v>2020-21</v>
      </c>
      <c r="G2" s="119" t="str">
        <f>+'Gross Value of Production'!F1</f>
        <v>2021-22s</v>
      </c>
      <c r="H2" s="119" t="str">
        <f>+'Gross Value of Production'!G1</f>
        <v>2022-23e</v>
      </c>
      <c r="I2" s="121" t="s">
        <v>47</v>
      </c>
      <c r="J2" s="121" t="s">
        <v>65</v>
      </c>
      <c r="K2" s="121" t="s">
        <v>49</v>
      </c>
      <c r="L2" s="122" t="s">
        <v>50</v>
      </c>
      <c r="M2" s="123" t="s">
        <v>51</v>
      </c>
    </row>
    <row r="3" spans="1:13" x14ac:dyDescent="0.25">
      <c r="A3" s="98" t="s">
        <v>315</v>
      </c>
      <c r="B3" s="86"/>
      <c r="C3" s="99" t="s">
        <v>45</v>
      </c>
      <c r="D3" s="78">
        <v>784.82655599999998</v>
      </c>
      <c r="E3" s="78">
        <v>842.78658900000005</v>
      </c>
      <c r="F3" s="78">
        <v>770.98317228999997</v>
      </c>
      <c r="G3" s="78">
        <v>836.23640279773258</v>
      </c>
      <c r="H3" s="78">
        <v>917.49016114236292</v>
      </c>
      <c r="I3" s="79">
        <f t="shared" ref="I3:I12" si="0">IF(ISBLANK(H3),"N/A",IF(ISNA(H3/G3-1),"N/A",IF(ISERROR(H3/G3-1),"N/A",H3/G3-1)))</f>
        <v>9.7166014386345534E-2</v>
      </c>
      <c r="J3" s="80">
        <f t="shared" ref="J3:J12" si="1">IF(ISBLANK(H3),"",IF(ISNA(AVERAGE(D3:H3)),"N/A",IF(ISERROR(AVERAGE(D3:H3)),"N/A",AVERAGE(D3:H3))))</f>
        <v>830.46457624601919</v>
      </c>
      <c r="K3" s="79">
        <f t="shared" ref="K3:K12" si="2">IF(ISBLANK(H3),"",IF(ISNA(H3/AVERAGE(D3:H3)-1),"N/A",IF(ISERROR(H3/AVERAGE(D3:H3)-1),"N/A",H3/AVERAGE(D3:H3)-1)))</f>
        <v>0.10479144732425416</v>
      </c>
      <c r="L3" s="95" t="s">
        <v>352</v>
      </c>
      <c r="M3" s="97" t="s">
        <v>353</v>
      </c>
    </row>
    <row r="4" spans="1:13" x14ac:dyDescent="0.25">
      <c r="A4" s="111" t="s">
        <v>227</v>
      </c>
      <c r="B4" s="86"/>
      <c r="C4" s="99" t="s">
        <v>118</v>
      </c>
      <c r="D4" s="84">
        <v>34.195003540000002</v>
      </c>
      <c r="E4" s="84">
        <v>31.329489329999998</v>
      </c>
      <c r="F4" s="84">
        <v>39.149834859999999</v>
      </c>
      <c r="G4" s="151" t="s">
        <v>151</v>
      </c>
      <c r="H4" s="151" t="s">
        <v>151</v>
      </c>
      <c r="I4" s="79" t="str">
        <f t="shared" si="0"/>
        <v>N/A</v>
      </c>
      <c r="J4" s="80">
        <f t="shared" si="1"/>
        <v>34.89144257666667</v>
      </c>
      <c r="K4" s="79" t="str">
        <f t="shared" si="2"/>
        <v>N/A</v>
      </c>
      <c r="L4" s="81" t="s">
        <v>377</v>
      </c>
      <c r="M4" s="82" t="s">
        <v>378</v>
      </c>
    </row>
    <row r="5" spans="1:13" x14ac:dyDescent="0.25">
      <c r="A5" s="111" t="s">
        <v>228</v>
      </c>
      <c r="B5" s="86"/>
      <c r="C5" s="100" t="s">
        <v>59</v>
      </c>
      <c r="D5" s="84">
        <v>462.01299999999998</v>
      </c>
      <c r="E5" s="84">
        <v>450.339</v>
      </c>
      <c r="F5" s="84">
        <v>456.375</v>
      </c>
      <c r="G5" s="84">
        <v>486.27300000000002</v>
      </c>
      <c r="H5" s="84">
        <v>495.02300000000002</v>
      </c>
      <c r="I5" s="79">
        <f t="shared" si="0"/>
        <v>1.7994007481394236E-2</v>
      </c>
      <c r="J5" s="80">
        <f t="shared" si="1"/>
        <v>470.00460000000004</v>
      </c>
      <c r="K5" s="79">
        <f t="shared" si="2"/>
        <v>5.3230117322256021E-2</v>
      </c>
      <c r="L5" s="81" t="s">
        <v>382</v>
      </c>
      <c r="M5" s="82" t="s">
        <v>383</v>
      </c>
    </row>
    <row r="6" spans="1:13" x14ac:dyDescent="0.25">
      <c r="A6" s="111" t="s">
        <v>225</v>
      </c>
      <c r="B6" s="86"/>
      <c r="C6" s="99" t="s">
        <v>226</v>
      </c>
      <c r="D6" s="106">
        <v>216.80199999999999</v>
      </c>
      <c r="E6" s="106">
        <v>219.74199999999999</v>
      </c>
      <c r="F6" s="106">
        <v>219.471</v>
      </c>
      <c r="G6" s="106">
        <v>226.16300000000001</v>
      </c>
      <c r="H6" s="106">
        <v>243.43600000000001</v>
      </c>
      <c r="I6" s="79">
        <f t="shared" si="0"/>
        <v>7.6374119550943309E-2</v>
      </c>
      <c r="J6" s="80">
        <f t="shared" si="1"/>
        <v>225.12280000000001</v>
      </c>
      <c r="K6" s="79">
        <f t="shared" si="2"/>
        <v>8.1347602286396592E-2</v>
      </c>
      <c r="L6" s="107" t="s">
        <v>357</v>
      </c>
      <c r="M6" s="97" t="s">
        <v>356</v>
      </c>
    </row>
    <row r="7" spans="1:13" x14ac:dyDescent="0.25">
      <c r="A7" s="160" t="s">
        <v>62</v>
      </c>
      <c r="B7" s="86" t="s">
        <v>63</v>
      </c>
      <c r="C7" s="99" t="s">
        <v>45</v>
      </c>
      <c r="D7" s="78">
        <v>22.124732000000002</v>
      </c>
      <c r="E7" s="78">
        <v>24.215153999999998</v>
      </c>
      <c r="F7" s="78">
        <v>12.266144000000001</v>
      </c>
      <c r="G7" s="78">
        <v>19.418253</v>
      </c>
      <c r="H7" s="78">
        <v>24.966093000000001</v>
      </c>
      <c r="I7" s="79">
        <f t="shared" si="0"/>
        <v>0.28570232347884228</v>
      </c>
      <c r="J7" s="80">
        <f t="shared" si="1"/>
        <v>20.5980752</v>
      </c>
      <c r="K7" s="79">
        <f t="shared" si="2"/>
        <v>0.21205951321121508</v>
      </c>
      <c r="L7" s="95" t="s">
        <v>346</v>
      </c>
      <c r="M7" s="97" t="s">
        <v>345</v>
      </c>
    </row>
    <row r="8" spans="1:13" x14ac:dyDescent="0.25">
      <c r="A8" s="160"/>
      <c r="B8" s="112" t="s">
        <v>420</v>
      </c>
      <c r="C8" s="99" t="s">
        <v>45</v>
      </c>
      <c r="D8" s="78">
        <v>2.545912</v>
      </c>
      <c r="E8" s="78">
        <v>1.5064200000000001</v>
      </c>
      <c r="F8" s="78">
        <v>2.0642670000000001</v>
      </c>
      <c r="G8" s="78">
        <v>1.713962</v>
      </c>
      <c r="H8" s="78">
        <v>4.5512569999999997</v>
      </c>
      <c r="I8" s="79">
        <f t="shared" si="0"/>
        <v>1.655401344953972</v>
      </c>
      <c r="J8" s="80">
        <f t="shared" si="1"/>
        <v>2.4763636</v>
      </c>
      <c r="K8" s="79">
        <f t="shared" si="2"/>
        <v>0.83787913858853358</v>
      </c>
      <c r="L8" s="95" t="s">
        <v>346</v>
      </c>
      <c r="M8" s="97" t="s">
        <v>345</v>
      </c>
    </row>
    <row r="9" spans="1:13" x14ac:dyDescent="0.25">
      <c r="A9" s="160"/>
      <c r="B9" s="112" t="s">
        <v>419</v>
      </c>
      <c r="C9" s="99" t="s">
        <v>45</v>
      </c>
      <c r="D9" s="78">
        <v>3.2997010000000002</v>
      </c>
      <c r="E9" s="78">
        <v>3.084015</v>
      </c>
      <c r="F9" s="78">
        <v>1.6473180000000001</v>
      </c>
      <c r="G9" s="78">
        <v>5.5559079999999996</v>
      </c>
      <c r="H9" s="78">
        <v>3.9886140000000001</v>
      </c>
      <c r="I9" s="79">
        <f t="shared" si="0"/>
        <v>-0.28209502389168428</v>
      </c>
      <c r="J9" s="80">
        <f t="shared" si="1"/>
        <v>3.5151111999999998</v>
      </c>
      <c r="K9" s="79">
        <f t="shared" si="2"/>
        <v>0.13470492768479136</v>
      </c>
      <c r="L9" s="95" t="s">
        <v>346</v>
      </c>
      <c r="M9" s="97" t="s">
        <v>345</v>
      </c>
    </row>
    <row r="10" spans="1:13" x14ac:dyDescent="0.25">
      <c r="A10" s="160"/>
      <c r="B10" s="112" t="s">
        <v>416</v>
      </c>
      <c r="C10" s="99" t="s">
        <v>45</v>
      </c>
      <c r="D10" s="78">
        <v>0.28379799999999999</v>
      </c>
      <c r="E10" s="78">
        <v>7.7887370000000002</v>
      </c>
      <c r="F10" s="78">
        <v>2.0815540000000001</v>
      </c>
      <c r="G10" s="78">
        <v>0.46285399999999999</v>
      </c>
      <c r="H10" s="78">
        <v>1.444315</v>
      </c>
      <c r="I10" s="79">
        <f t="shared" si="0"/>
        <v>2.1204548302488475</v>
      </c>
      <c r="J10" s="80">
        <f t="shared" si="1"/>
        <v>2.4122516000000003</v>
      </c>
      <c r="K10" s="79">
        <f t="shared" si="2"/>
        <v>-0.40125855860143289</v>
      </c>
      <c r="L10" s="95" t="s">
        <v>346</v>
      </c>
      <c r="M10" s="97" t="s">
        <v>345</v>
      </c>
    </row>
    <row r="11" spans="1:13" x14ac:dyDescent="0.25">
      <c r="A11" s="111" t="s">
        <v>64</v>
      </c>
      <c r="B11" s="86" t="s">
        <v>63</v>
      </c>
      <c r="C11" s="99" t="s">
        <v>45</v>
      </c>
      <c r="D11" s="78">
        <v>3.3349244699999998</v>
      </c>
      <c r="E11" s="78">
        <v>1.02451549</v>
      </c>
      <c r="F11" s="78">
        <v>2.5200000000000001E-3</v>
      </c>
      <c r="G11" s="78">
        <v>9.3427800000000002E-3</v>
      </c>
      <c r="H11" s="78">
        <v>0.3150096</v>
      </c>
      <c r="I11" s="79">
        <f t="shared" si="0"/>
        <v>32.716902249651604</v>
      </c>
      <c r="J11" s="80">
        <f t="shared" si="1"/>
        <v>0.93726246799999979</v>
      </c>
      <c r="K11" s="79">
        <f t="shared" si="2"/>
        <v>-0.66390460436104859</v>
      </c>
      <c r="L11" s="95" t="s">
        <v>346</v>
      </c>
      <c r="M11" s="97" t="s">
        <v>345</v>
      </c>
    </row>
    <row r="12" spans="1:13" x14ac:dyDescent="0.25">
      <c r="A12" s="111" t="s">
        <v>301</v>
      </c>
      <c r="B12" s="86" t="s">
        <v>63</v>
      </c>
      <c r="C12" s="99" t="s">
        <v>45</v>
      </c>
      <c r="D12" s="78">
        <f>+D7-D11</f>
        <v>18.789807530000001</v>
      </c>
      <c r="E12" s="78">
        <f t="shared" ref="E12:H12" si="3">+E7-E11</f>
        <v>23.190638509999999</v>
      </c>
      <c r="F12" s="78">
        <f t="shared" si="3"/>
        <v>12.263624</v>
      </c>
      <c r="G12" s="78">
        <f t="shared" si="3"/>
        <v>19.408910219999999</v>
      </c>
      <c r="H12" s="78">
        <f t="shared" si="3"/>
        <v>24.651083400000001</v>
      </c>
      <c r="I12" s="79">
        <f t="shared" si="0"/>
        <v>0.27009106233064961</v>
      </c>
      <c r="J12" s="80">
        <f t="shared" si="1"/>
        <v>19.660812732000004</v>
      </c>
      <c r="K12" s="79">
        <f t="shared" si="2"/>
        <v>0.25381812725767006</v>
      </c>
      <c r="L12" s="95" t="s">
        <v>346</v>
      </c>
      <c r="M12" s="97" t="s">
        <v>345</v>
      </c>
    </row>
    <row r="13" spans="1:13" x14ac:dyDescent="0.25">
      <c r="A13" s="13" t="s">
        <v>294</v>
      </c>
    </row>
    <row r="14" spans="1:13" x14ac:dyDescent="0.25">
      <c r="A14" s="13" t="s">
        <v>308</v>
      </c>
    </row>
    <row r="15" spans="1:13" x14ac:dyDescent="0.25">
      <c r="A15" s="13" t="s">
        <v>271</v>
      </c>
    </row>
  </sheetData>
  <mergeCells count="1">
    <mergeCell ref="A7:A1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7CABA-9474-4BEB-A323-386F82928ECB}">
  <sheetPr codeName="Sheet17"/>
  <dimension ref="A1:M18"/>
  <sheetViews>
    <sheetView workbookViewId="0">
      <selection activeCell="A18" sqref="A18"/>
    </sheetView>
  </sheetViews>
  <sheetFormatPr defaultRowHeight="15" x14ac:dyDescent="0.25"/>
  <cols>
    <col min="1" max="1" width="32.85546875" bestFit="1" customWidth="1"/>
    <col min="4" max="4" width="14.5703125" bestFit="1" customWidth="1"/>
    <col min="6" max="7" width="9.7109375" bestFit="1" customWidth="1"/>
    <col min="8" max="8" width="10.5703125" bestFit="1" customWidth="1"/>
  </cols>
  <sheetData>
    <row r="1" spans="1:13" x14ac:dyDescent="0.25">
      <c r="A1" s="124" t="s">
        <v>19</v>
      </c>
      <c r="B1" s="124"/>
      <c r="C1" s="124"/>
      <c r="D1" s="124"/>
      <c r="E1" s="124"/>
      <c r="F1" s="124"/>
      <c r="G1" s="124"/>
      <c r="H1" s="124"/>
      <c r="I1" s="124"/>
      <c r="J1" s="124"/>
      <c r="K1" s="124"/>
      <c r="L1" s="124"/>
      <c r="M1" s="124"/>
    </row>
    <row r="2" spans="1:13" x14ac:dyDescent="0.25">
      <c r="A2" s="125" t="s">
        <v>52</v>
      </c>
      <c r="B2" s="119" t="s">
        <v>53</v>
      </c>
      <c r="C2" s="126" t="s">
        <v>44</v>
      </c>
      <c r="D2" s="119" t="str">
        <f>+'Gross Value of Production'!C1</f>
        <v>2018-19</v>
      </c>
      <c r="E2" s="119" t="str">
        <f>+'Gross Value of Production'!D1</f>
        <v>2019-20</v>
      </c>
      <c r="F2" s="119" t="str">
        <f>+'Gross Value of Production'!E1</f>
        <v>2020-21</v>
      </c>
      <c r="G2" s="119" t="str">
        <f>+'Gross Value of Production'!F1</f>
        <v>2021-22s</v>
      </c>
      <c r="H2" s="119" t="str">
        <f>+'Gross Value of Production'!G1</f>
        <v>2022-23e</v>
      </c>
      <c r="I2" s="121" t="s">
        <v>47</v>
      </c>
      <c r="J2" s="121" t="s">
        <v>65</v>
      </c>
      <c r="K2" s="121" t="s">
        <v>49</v>
      </c>
      <c r="L2" s="122" t="s">
        <v>50</v>
      </c>
      <c r="M2" s="123" t="s">
        <v>51</v>
      </c>
    </row>
    <row r="3" spans="1:13" x14ac:dyDescent="0.25">
      <c r="A3" s="98" t="s">
        <v>315</v>
      </c>
      <c r="B3" s="76"/>
      <c r="C3" s="77" t="s">
        <v>45</v>
      </c>
      <c r="D3" s="78">
        <v>1168.2357629000001</v>
      </c>
      <c r="E3" s="78">
        <v>773.91666294000004</v>
      </c>
      <c r="F3" s="78">
        <v>841.78255465999996</v>
      </c>
      <c r="G3" s="78">
        <v>1102.8636452572766</v>
      </c>
      <c r="H3" s="78">
        <v>1088.1887201743968</v>
      </c>
      <c r="I3" s="79">
        <f t="shared" ref="I3:I15" si="0">IF(ISBLANK(H3),"N/A",IF(ISNA(H3/G3-1),"N/A",IF(ISERROR(H3/G3-1),"N/A",H3/G3-1)))</f>
        <v>-1.3306200767417953E-2</v>
      </c>
      <c r="J3" s="94">
        <f t="shared" ref="J3:J15" si="1">IF(ISBLANK(H3),"",IF(ISNA(AVERAGE(D3:H3)),"N/A",IF(ISERROR(AVERAGE(D3:H3)),"N/A",AVERAGE(D3:H3))))</f>
        <v>994.99746918633468</v>
      </c>
      <c r="K3" s="93">
        <f t="shared" ref="K3:K15" si="2">IF(ISBLANK(H3),"",IF(ISNA(H3/AVERAGE(D3:H3)-1),"N/A",IF(ISERROR(H3/AVERAGE(D3:H3)-1),"N/A",H3/AVERAGE(D3:H3)-1)))</f>
        <v>9.3659786958322444E-2</v>
      </c>
      <c r="L3" s="95" t="s">
        <v>352</v>
      </c>
      <c r="M3" s="97" t="s">
        <v>353</v>
      </c>
    </row>
    <row r="4" spans="1:13" x14ac:dyDescent="0.25">
      <c r="A4" s="75" t="s">
        <v>216</v>
      </c>
      <c r="B4" s="76"/>
      <c r="C4" s="77" t="s">
        <v>118</v>
      </c>
      <c r="D4" s="108">
        <v>22.36641625</v>
      </c>
      <c r="E4" s="85">
        <v>20.371834920000001</v>
      </c>
      <c r="F4" s="85">
        <v>24.71153365</v>
      </c>
      <c r="G4" s="85">
        <v>27.148736080838219</v>
      </c>
      <c r="H4" s="85" t="s">
        <v>151</v>
      </c>
      <c r="I4" s="79" t="str">
        <f t="shared" si="0"/>
        <v>N/A</v>
      </c>
      <c r="J4" s="94">
        <f t="shared" si="1"/>
        <v>23.649630225209552</v>
      </c>
      <c r="K4" s="93" t="str">
        <f t="shared" si="2"/>
        <v>N/A</v>
      </c>
      <c r="L4" s="81" t="s">
        <v>377</v>
      </c>
      <c r="M4" s="82" t="s">
        <v>378</v>
      </c>
    </row>
    <row r="5" spans="1:13" x14ac:dyDescent="0.25">
      <c r="A5" s="75" t="s">
        <v>229</v>
      </c>
      <c r="B5" s="76"/>
      <c r="C5" s="77" t="s">
        <v>118</v>
      </c>
      <c r="D5" s="109">
        <v>9.8724136500000004</v>
      </c>
      <c r="E5" s="109">
        <v>9.4367654900000009</v>
      </c>
      <c r="F5" s="151" t="s">
        <v>151</v>
      </c>
      <c r="G5" s="85" t="s">
        <v>151</v>
      </c>
      <c r="H5" s="85" t="s">
        <v>151</v>
      </c>
      <c r="I5" s="79" t="str">
        <f t="shared" si="0"/>
        <v>N/A</v>
      </c>
      <c r="J5" s="94">
        <f t="shared" si="1"/>
        <v>9.6545895700000006</v>
      </c>
      <c r="K5" s="93" t="str">
        <f t="shared" si="2"/>
        <v>N/A</v>
      </c>
      <c r="L5" s="81" t="s">
        <v>377</v>
      </c>
      <c r="M5" s="82" t="s">
        <v>378</v>
      </c>
    </row>
    <row r="6" spans="1:13" x14ac:dyDescent="0.25">
      <c r="A6" s="75" t="s">
        <v>253</v>
      </c>
      <c r="B6" s="76"/>
      <c r="C6" s="77" t="s">
        <v>118</v>
      </c>
      <c r="D6" s="109">
        <v>14.94027011</v>
      </c>
      <c r="E6" s="109">
        <v>13.683911550000001</v>
      </c>
      <c r="F6" s="109">
        <v>12.165429919999999</v>
      </c>
      <c r="G6" s="85" t="s">
        <v>151</v>
      </c>
      <c r="H6" s="85" t="s">
        <v>151</v>
      </c>
      <c r="I6" s="79" t="str">
        <f t="shared" si="0"/>
        <v>N/A</v>
      </c>
      <c r="J6" s="94">
        <f t="shared" si="1"/>
        <v>13.596537193333333</v>
      </c>
      <c r="K6" s="93" t="str">
        <f t="shared" si="2"/>
        <v>N/A</v>
      </c>
      <c r="L6" s="81" t="s">
        <v>377</v>
      </c>
      <c r="M6" s="82" t="s">
        <v>378</v>
      </c>
    </row>
    <row r="7" spans="1:13" x14ac:dyDescent="0.25">
      <c r="A7" s="75" t="s">
        <v>362</v>
      </c>
      <c r="B7" s="76"/>
      <c r="C7" s="83" t="s">
        <v>59</v>
      </c>
      <c r="D7" s="84">
        <v>91.886313900000019</v>
      </c>
      <c r="E7" s="84">
        <v>97.295537600000003</v>
      </c>
      <c r="F7" s="84">
        <v>100.3250532</v>
      </c>
      <c r="G7" s="84">
        <v>97.295537600000003</v>
      </c>
      <c r="H7" s="84">
        <v>100.3250532</v>
      </c>
      <c r="I7" s="79">
        <f t="shared" si="0"/>
        <v>3.1137251252517872E-2</v>
      </c>
      <c r="J7" s="94">
        <f t="shared" si="1"/>
        <v>97.425499099999996</v>
      </c>
      <c r="K7" s="93">
        <f t="shared" si="2"/>
        <v>2.97617577203666E-2</v>
      </c>
      <c r="L7" s="76" t="s">
        <v>366</v>
      </c>
      <c r="M7" s="99" t="s">
        <v>367</v>
      </c>
    </row>
    <row r="8" spans="1:13" x14ac:dyDescent="0.25">
      <c r="A8" s="75" t="s">
        <v>363</v>
      </c>
      <c r="B8" s="76"/>
      <c r="C8" s="83" t="s">
        <v>364</v>
      </c>
      <c r="D8" s="84">
        <v>99.1</v>
      </c>
      <c r="E8" s="84">
        <v>94.3</v>
      </c>
      <c r="F8" s="84">
        <v>99.2</v>
      </c>
      <c r="G8" s="84">
        <v>113.3</v>
      </c>
      <c r="H8" s="84">
        <v>119</v>
      </c>
      <c r="I8" s="79">
        <f t="shared" ref="I8" si="3">IF(ISBLANK(H8),"N/A",IF(ISNA(H8/G8-1),"N/A",IF(ISERROR(H8/G8-1),"N/A",H8/G8-1)))</f>
        <v>5.0308914386584247E-2</v>
      </c>
      <c r="J8" s="94">
        <f t="shared" ref="J8" si="4">IF(ISBLANK(H8),"",IF(ISNA(AVERAGE(D8:H8)),"N/A",IF(ISERROR(AVERAGE(D8:H8)),"N/A",AVERAGE(D8:H8))))</f>
        <v>104.97999999999999</v>
      </c>
      <c r="K8" s="93">
        <f t="shared" ref="K8" si="5">IF(ISBLANK(H8),"",IF(ISNA(H8/AVERAGE(D8:H8)-1),"N/A",IF(ISERROR(H8/AVERAGE(D8:H8)-1),"N/A",H8/AVERAGE(D8:H8)-1)))</f>
        <v>0.13354924747570984</v>
      </c>
      <c r="L8" s="76" t="s">
        <v>387</v>
      </c>
      <c r="M8" s="99" t="s">
        <v>365</v>
      </c>
    </row>
    <row r="9" spans="1:13" x14ac:dyDescent="0.25">
      <c r="A9" s="75" t="s">
        <v>230</v>
      </c>
      <c r="B9" s="76"/>
      <c r="C9" s="77" t="s">
        <v>231</v>
      </c>
      <c r="D9" s="85">
        <v>1939</v>
      </c>
      <c r="E9" s="85">
        <v>1448</v>
      </c>
      <c r="F9" s="85">
        <v>1199</v>
      </c>
      <c r="G9" s="85">
        <v>1385</v>
      </c>
      <c r="H9" s="85">
        <v>1295</v>
      </c>
      <c r="I9" s="79">
        <f t="shared" si="0"/>
        <v>-6.498194945848379E-2</v>
      </c>
      <c r="J9" s="94">
        <f t="shared" si="1"/>
        <v>1453.2</v>
      </c>
      <c r="K9" s="93">
        <f t="shared" si="2"/>
        <v>-0.10886319845857417</v>
      </c>
      <c r="L9" s="76" t="s">
        <v>386</v>
      </c>
      <c r="M9" s="99" t="s">
        <v>388</v>
      </c>
    </row>
    <row r="10" spans="1:13" x14ac:dyDescent="0.25">
      <c r="A10" s="164" t="s">
        <v>62</v>
      </c>
      <c r="B10" s="86" t="s">
        <v>63</v>
      </c>
      <c r="C10" s="77" t="s">
        <v>45</v>
      </c>
      <c r="D10" s="110">
        <v>807.47414600000002</v>
      </c>
      <c r="E10" s="110">
        <v>527.49161400000003</v>
      </c>
      <c r="F10" s="110">
        <v>466.003916</v>
      </c>
      <c r="G10" s="110">
        <v>706.07081700000003</v>
      </c>
      <c r="H10" s="110">
        <v>755.25449400000002</v>
      </c>
      <c r="I10" s="79">
        <f t="shared" si="0"/>
        <v>6.965827763421073E-2</v>
      </c>
      <c r="J10" s="94">
        <f t="shared" si="1"/>
        <v>652.45899740000004</v>
      </c>
      <c r="K10" s="93">
        <f t="shared" si="2"/>
        <v>0.15755089133513711</v>
      </c>
      <c r="L10" s="95" t="s">
        <v>346</v>
      </c>
      <c r="M10" s="97" t="s">
        <v>345</v>
      </c>
    </row>
    <row r="11" spans="1:13" x14ac:dyDescent="0.25">
      <c r="A11" s="164"/>
      <c r="B11" s="88" t="s">
        <v>330</v>
      </c>
      <c r="C11" s="77" t="s">
        <v>45</v>
      </c>
      <c r="D11" s="110">
        <v>684.67072399999995</v>
      </c>
      <c r="E11" s="110">
        <v>435.440831</v>
      </c>
      <c r="F11" s="110">
        <v>421.05429800000002</v>
      </c>
      <c r="G11" s="110">
        <v>587.95016299999997</v>
      </c>
      <c r="H11" s="110">
        <v>594.57458699999995</v>
      </c>
      <c r="I11" s="79">
        <f t="shared" si="0"/>
        <v>1.1266982164268802E-2</v>
      </c>
      <c r="J11" s="94">
        <f t="shared" si="1"/>
        <v>544.7381206</v>
      </c>
      <c r="K11" s="93">
        <f t="shared" si="2"/>
        <v>9.1487018285240973E-2</v>
      </c>
      <c r="L11" s="95" t="s">
        <v>346</v>
      </c>
      <c r="M11" s="97" t="s">
        <v>345</v>
      </c>
    </row>
    <row r="12" spans="1:13" x14ac:dyDescent="0.25">
      <c r="A12" s="164"/>
      <c r="B12" s="88" t="s">
        <v>421</v>
      </c>
      <c r="C12" s="77" t="s">
        <v>45</v>
      </c>
      <c r="D12" s="110">
        <v>45.271394999999998</v>
      </c>
      <c r="E12" s="110">
        <v>43.664095000000003</v>
      </c>
      <c r="F12" s="110">
        <v>11.937002</v>
      </c>
      <c r="G12" s="110">
        <v>50.216537000000002</v>
      </c>
      <c r="H12" s="110">
        <v>78.842713000000003</v>
      </c>
      <c r="I12" s="79">
        <f t="shared" si="0"/>
        <v>0.57005476104415553</v>
      </c>
      <c r="J12" s="94">
        <f t="shared" si="1"/>
        <v>45.986348399999997</v>
      </c>
      <c r="K12" s="93">
        <f t="shared" si="2"/>
        <v>0.71448083492534953</v>
      </c>
      <c r="L12" s="95" t="s">
        <v>346</v>
      </c>
      <c r="M12" s="97" t="s">
        <v>345</v>
      </c>
    </row>
    <row r="13" spans="1:13" x14ac:dyDescent="0.25">
      <c r="A13" s="164"/>
      <c r="B13" s="88" t="s">
        <v>335</v>
      </c>
      <c r="C13" s="77" t="s">
        <v>45</v>
      </c>
      <c r="D13" s="110">
        <v>27.758002999999999</v>
      </c>
      <c r="E13" s="110">
        <v>11.814821999999999</v>
      </c>
      <c r="F13" s="110">
        <v>9.4971029999999992</v>
      </c>
      <c r="G13" s="110">
        <v>26.5122</v>
      </c>
      <c r="H13" s="110">
        <v>40.815897999999997</v>
      </c>
      <c r="I13" s="79">
        <f t="shared" si="0"/>
        <v>0.53951380873710963</v>
      </c>
      <c r="J13" s="94">
        <f t="shared" si="1"/>
        <v>23.279605199999999</v>
      </c>
      <c r="K13" s="93">
        <f t="shared" si="2"/>
        <v>0.75328995699634982</v>
      </c>
      <c r="L13" s="95" t="s">
        <v>346</v>
      </c>
      <c r="M13" s="97" t="s">
        <v>345</v>
      </c>
    </row>
    <row r="14" spans="1:13" x14ac:dyDescent="0.25">
      <c r="A14" s="75" t="s">
        <v>64</v>
      </c>
      <c r="B14" s="86" t="s">
        <v>63</v>
      </c>
      <c r="C14" s="77" t="s">
        <v>45</v>
      </c>
      <c r="D14" s="92">
        <v>5.603172E-2</v>
      </c>
      <c r="E14" s="92">
        <v>4.6595249999999998E-2</v>
      </c>
      <c r="F14" s="92">
        <v>3.9309169999999997E-2</v>
      </c>
      <c r="G14" s="92">
        <v>5.18521E-3</v>
      </c>
      <c r="H14" s="92">
        <v>1.7798770000000002E-2</v>
      </c>
      <c r="I14" s="79">
        <f t="shared" si="0"/>
        <v>2.4326035011118163</v>
      </c>
      <c r="J14" s="94">
        <f t="shared" si="1"/>
        <v>3.2984023999999994E-2</v>
      </c>
      <c r="K14" s="93">
        <f t="shared" si="2"/>
        <v>-0.46038209285804532</v>
      </c>
      <c r="L14" s="95" t="s">
        <v>346</v>
      </c>
      <c r="M14" s="97" t="s">
        <v>345</v>
      </c>
    </row>
    <row r="15" spans="1:13" x14ac:dyDescent="0.25">
      <c r="A15" s="89" t="s">
        <v>301</v>
      </c>
      <c r="B15" s="90" t="s">
        <v>63</v>
      </c>
      <c r="C15" s="91" t="s">
        <v>45</v>
      </c>
      <c r="D15" s="78">
        <f>+D10-D14</f>
        <v>807.41811428000005</v>
      </c>
      <c r="E15" s="78">
        <f t="shared" ref="E15:H15" si="6">+E10-E14</f>
        <v>527.44501875000003</v>
      </c>
      <c r="F15" s="78">
        <f t="shared" si="6"/>
        <v>465.96460682999998</v>
      </c>
      <c r="G15" s="78">
        <f t="shared" si="6"/>
        <v>706.06563179</v>
      </c>
      <c r="H15" s="78">
        <f t="shared" si="6"/>
        <v>755.23669523000001</v>
      </c>
      <c r="I15" s="79">
        <f t="shared" si="0"/>
        <v>6.9640924619631672E-2</v>
      </c>
      <c r="J15" s="94">
        <f t="shared" si="1"/>
        <v>652.4260133759999</v>
      </c>
      <c r="K15" s="93">
        <f t="shared" si="2"/>
        <v>0.15758213153090384</v>
      </c>
      <c r="L15" s="95" t="s">
        <v>346</v>
      </c>
      <c r="M15" s="97" t="s">
        <v>345</v>
      </c>
    </row>
    <row r="16" spans="1:13" x14ac:dyDescent="0.25">
      <c r="A16" s="13" t="s">
        <v>294</v>
      </c>
    </row>
    <row r="17" spans="1:1" x14ac:dyDescent="0.25">
      <c r="A17" s="13" t="s">
        <v>308</v>
      </c>
    </row>
    <row r="18" spans="1:1" x14ac:dyDescent="0.25">
      <c r="A18" s="13" t="s">
        <v>271</v>
      </c>
    </row>
  </sheetData>
  <mergeCells count="1">
    <mergeCell ref="A10:A1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95840-63D3-4337-8C95-C64D2B257927}">
  <sheetPr codeName="Sheet18"/>
  <dimension ref="A1:M17"/>
  <sheetViews>
    <sheetView workbookViewId="0">
      <selection activeCell="A17" sqref="A17"/>
    </sheetView>
  </sheetViews>
  <sheetFormatPr defaultRowHeight="15" x14ac:dyDescent="0.25"/>
  <cols>
    <col min="1" max="1" width="28.7109375" bestFit="1" customWidth="1"/>
    <col min="2" max="2" width="10.5703125" bestFit="1" customWidth="1"/>
    <col min="3" max="3" width="12.140625" bestFit="1" customWidth="1"/>
    <col min="7" max="7" width="12.5703125" bestFit="1" customWidth="1"/>
    <col min="8" max="8" width="10.5703125" bestFit="1" customWidth="1"/>
  </cols>
  <sheetData>
    <row r="1" spans="1:13" x14ac:dyDescent="0.25">
      <c r="A1" s="124" t="s">
        <v>20</v>
      </c>
      <c r="B1" s="124"/>
      <c r="C1" s="124"/>
      <c r="D1" s="124"/>
      <c r="E1" s="124"/>
      <c r="F1" s="124"/>
      <c r="G1" s="124"/>
      <c r="H1" s="124"/>
      <c r="I1" s="124"/>
      <c r="J1" s="124"/>
      <c r="K1" s="124"/>
      <c r="L1" s="124"/>
      <c r="M1" s="124"/>
    </row>
    <row r="2" spans="1:13" x14ac:dyDescent="0.25">
      <c r="A2" s="125" t="s">
        <v>52</v>
      </c>
      <c r="B2" s="119" t="s">
        <v>53</v>
      </c>
      <c r="C2" s="126" t="s">
        <v>44</v>
      </c>
      <c r="D2" s="119" t="str">
        <f>+'Gross Value of Production'!C1</f>
        <v>2018-19</v>
      </c>
      <c r="E2" s="119" t="str">
        <f>+'Gross Value of Production'!D1</f>
        <v>2019-20</v>
      </c>
      <c r="F2" s="119" t="str">
        <f>+'Gross Value of Production'!E1</f>
        <v>2020-21</v>
      </c>
      <c r="G2" s="119" t="str">
        <f>+'Gross Value of Production'!F1</f>
        <v>2021-22s</v>
      </c>
      <c r="H2" s="119" t="str">
        <f>+'Gross Value of Production'!G1</f>
        <v>2022-23e</v>
      </c>
      <c r="I2" s="121" t="s">
        <v>47</v>
      </c>
      <c r="J2" s="121" t="s">
        <v>65</v>
      </c>
      <c r="K2" s="121" t="s">
        <v>49</v>
      </c>
      <c r="L2" s="122" t="s">
        <v>50</v>
      </c>
      <c r="M2" s="123" t="s">
        <v>51</v>
      </c>
    </row>
    <row r="3" spans="1:13" x14ac:dyDescent="0.25">
      <c r="A3" s="98" t="s">
        <v>315</v>
      </c>
      <c r="B3" s="76"/>
      <c r="C3" s="77" t="s">
        <v>45</v>
      </c>
      <c r="D3" s="78">
        <v>238.80816077</v>
      </c>
      <c r="E3" s="78">
        <v>258.97607625000001</v>
      </c>
      <c r="F3" s="78">
        <v>389.42575252999995</v>
      </c>
      <c r="G3" s="78">
        <v>314.30803050142862</v>
      </c>
      <c r="H3" s="78">
        <v>354.15545592629684</v>
      </c>
      <c r="I3" s="79">
        <f t="shared" ref="I3:I14" si="0">IF(ISBLANK(H3),"N/A",IF(ISNA(H3/G3-1),"N/A",IF(ISERROR(H3/G3-1),"N/A",H3/G3-1)))</f>
        <v>0.12677826068044773</v>
      </c>
      <c r="J3" s="80">
        <f t="shared" ref="J3:J14" si="1">IF(ISBLANK(H3),"",IF(ISNA(AVERAGE(D3:H3)),"N/A",IF(ISERROR(AVERAGE(D3:H3)),"N/A",AVERAGE(D3:H3))))</f>
        <v>311.13469519554508</v>
      </c>
      <c r="K3" s="93">
        <f t="shared" ref="K3:K14" si="2">IF(ISBLANK(H3),"",IF(ISNA(H3/AVERAGE(D3:H3)-1),"N/A",IF(ISERROR(H3/AVERAGE(D3:H3)-1),"N/A",H3/AVERAGE(D3:H3)-1)))</f>
        <v>0.13827053490037056</v>
      </c>
      <c r="L3" s="95" t="s">
        <v>352</v>
      </c>
      <c r="M3" s="97" t="s">
        <v>353</v>
      </c>
    </row>
    <row r="4" spans="1:13" x14ac:dyDescent="0.25">
      <c r="A4" s="75" t="s">
        <v>232</v>
      </c>
      <c r="B4" s="76"/>
      <c r="C4" s="77" t="s">
        <v>118</v>
      </c>
      <c r="D4" s="84">
        <v>6.6055079000000001</v>
      </c>
      <c r="E4" s="84">
        <v>5.6959493599999993</v>
      </c>
      <c r="F4" s="84">
        <v>4.7878188899999996</v>
      </c>
      <c r="G4" s="81" t="s">
        <v>151</v>
      </c>
      <c r="H4" s="81" t="s">
        <v>151</v>
      </c>
      <c r="I4" s="79" t="str">
        <f t="shared" si="0"/>
        <v>N/A</v>
      </c>
      <c r="J4" s="80">
        <f t="shared" si="1"/>
        <v>5.6964253833333336</v>
      </c>
      <c r="K4" s="93" t="str">
        <f t="shared" si="2"/>
        <v>N/A</v>
      </c>
      <c r="L4" s="81" t="s">
        <v>377</v>
      </c>
      <c r="M4" s="82" t="s">
        <v>378</v>
      </c>
    </row>
    <row r="5" spans="1:13" x14ac:dyDescent="0.25">
      <c r="A5" s="75" t="s">
        <v>233</v>
      </c>
      <c r="B5" s="76"/>
      <c r="C5" s="83" t="s">
        <v>209</v>
      </c>
      <c r="D5" s="84">
        <v>117.55601026000001</v>
      </c>
      <c r="E5" s="84">
        <v>105.49648742000001</v>
      </c>
      <c r="F5" s="84">
        <v>109.85436179999999</v>
      </c>
      <c r="G5" s="84">
        <v>114.89480934358058</v>
      </c>
      <c r="H5" s="81" t="s">
        <v>151</v>
      </c>
      <c r="I5" s="79" t="str">
        <f t="shared" si="0"/>
        <v>N/A</v>
      </c>
      <c r="J5" s="80">
        <f t="shared" si="1"/>
        <v>111.95041720589514</v>
      </c>
      <c r="K5" s="93" t="str">
        <f t="shared" si="2"/>
        <v>N/A</v>
      </c>
      <c r="L5" s="81" t="s">
        <v>377</v>
      </c>
      <c r="M5" s="82" t="s">
        <v>378</v>
      </c>
    </row>
    <row r="6" spans="1:13" x14ac:dyDescent="0.25">
      <c r="A6" s="75" t="s">
        <v>234</v>
      </c>
      <c r="B6" s="76"/>
      <c r="C6" s="83" t="s">
        <v>79</v>
      </c>
      <c r="D6" s="105">
        <v>0.29725850338260401</v>
      </c>
      <c r="E6" s="105">
        <v>0.30594170242361091</v>
      </c>
      <c r="F6" s="105">
        <v>0.35976481782449871</v>
      </c>
      <c r="G6" s="105">
        <v>0.34164828377954803</v>
      </c>
      <c r="H6" s="81" t="s">
        <v>151</v>
      </c>
      <c r="I6" s="79" t="str">
        <f t="shared" si="0"/>
        <v>N/A</v>
      </c>
      <c r="J6" s="80">
        <f t="shared" si="1"/>
        <v>0.32615332685256543</v>
      </c>
      <c r="K6" s="93" t="str">
        <f t="shared" si="2"/>
        <v>N/A</v>
      </c>
      <c r="L6" s="81" t="s">
        <v>377</v>
      </c>
      <c r="M6" s="82" t="s">
        <v>378</v>
      </c>
    </row>
    <row r="7" spans="1:13" x14ac:dyDescent="0.25">
      <c r="A7" s="75" t="s">
        <v>235</v>
      </c>
      <c r="B7" s="76"/>
      <c r="C7" s="77" t="s">
        <v>236</v>
      </c>
      <c r="D7" s="106">
        <v>234.68600000000001</v>
      </c>
      <c r="E7" s="106">
        <v>245.441</v>
      </c>
      <c r="F7" s="106">
        <v>280.74700000000001</v>
      </c>
      <c r="G7" s="106">
        <v>287.649</v>
      </c>
      <c r="H7" s="106">
        <v>302.43900000000002</v>
      </c>
      <c r="I7" s="79">
        <f t="shared" si="0"/>
        <v>5.141683092936189E-2</v>
      </c>
      <c r="J7" s="80">
        <f t="shared" si="1"/>
        <v>270.19240000000002</v>
      </c>
      <c r="K7" s="93">
        <f t="shared" si="2"/>
        <v>0.11934680620180282</v>
      </c>
      <c r="L7" s="107" t="s">
        <v>357</v>
      </c>
      <c r="M7" s="97" t="s">
        <v>356</v>
      </c>
    </row>
    <row r="8" spans="1:13" x14ac:dyDescent="0.25">
      <c r="A8" s="75" t="s">
        <v>309</v>
      </c>
      <c r="B8" s="76"/>
      <c r="C8" s="77" t="s">
        <v>98</v>
      </c>
      <c r="D8" s="85">
        <v>106.7</v>
      </c>
      <c r="E8" s="85">
        <v>112.425</v>
      </c>
      <c r="F8" s="85">
        <v>113.52500000000001</v>
      </c>
      <c r="G8" s="85">
        <v>115.325</v>
      </c>
      <c r="H8" s="85">
        <v>128.85</v>
      </c>
      <c r="I8" s="155">
        <f t="shared" si="0"/>
        <v>0.11727725991762394</v>
      </c>
      <c r="J8" s="80">
        <f t="shared" si="1"/>
        <v>115.36499999999998</v>
      </c>
      <c r="K8" s="93">
        <f t="shared" si="2"/>
        <v>0.11688987127811745</v>
      </c>
      <c r="L8" s="81" t="s">
        <v>374</v>
      </c>
      <c r="M8" s="82" t="s">
        <v>375</v>
      </c>
    </row>
    <row r="9" spans="1:13" x14ac:dyDescent="0.25">
      <c r="A9" s="164" t="s">
        <v>62</v>
      </c>
      <c r="B9" s="86" t="s">
        <v>63</v>
      </c>
      <c r="C9" s="77" t="s">
        <v>45</v>
      </c>
      <c r="D9" s="78">
        <v>7.8934610000000003</v>
      </c>
      <c r="E9" s="78">
        <v>1.473776</v>
      </c>
      <c r="F9" s="78">
        <v>0.89936799999999995</v>
      </c>
      <c r="G9" s="78">
        <v>1.101235</v>
      </c>
      <c r="H9" s="78">
        <v>2.0233300000000001</v>
      </c>
      <c r="I9" s="79">
        <f t="shared" si="0"/>
        <v>0.83732809073449377</v>
      </c>
      <c r="J9" s="80">
        <f t="shared" si="1"/>
        <v>2.6782339999999993</v>
      </c>
      <c r="K9" s="93">
        <f t="shared" si="2"/>
        <v>-0.24452829737804815</v>
      </c>
      <c r="L9" s="95" t="s">
        <v>346</v>
      </c>
      <c r="M9" s="97" t="s">
        <v>345</v>
      </c>
    </row>
    <row r="10" spans="1:13" x14ac:dyDescent="0.25">
      <c r="A10" s="164"/>
      <c r="B10" s="153" t="s">
        <v>419</v>
      </c>
      <c r="C10" s="77" t="s">
        <v>45</v>
      </c>
      <c r="D10" s="78">
        <v>5.8645069999999997</v>
      </c>
      <c r="E10" s="78">
        <v>0.50830399999999998</v>
      </c>
      <c r="F10" s="78">
        <v>0</v>
      </c>
      <c r="G10" s="78">
        <v>0.35416900000000001</v>
      </c>
      <c r="H10" s="78">
        <v>0.76368400000000003</v>
      </c>
      <c r="I10" s="79">
        <f t="shared" si="0"/>
        <v>1.1562700292798072</v>
      </c>
      <c r="J10" s="80">
        <f t="shared" si="1"/>
        <v>1.4981327999999998</v>
      </c>
      <c r="K10" s="93">
        <f t="shared" si="2"/>
        <v>-0.49024278755528206</v>
      </c>
      <c r="L10" s="95" t="s">
        <v>346</v>
      </c>
      <c r="M10" s="97" t="s">
        <v>345</v>
      </c>
    </row>
    <row r="11" spans="1:13" x14ac:dyDescent="0.25">
      <c r="A11" s="164"/>
      <c r="B11" s="153" t="s">
        <v>340</v>
      </c>
      <c r="C11" s="77" t="s">
        <v>45</v>
      </c>
      <c r="D11" s="78">
        <v>0.49903700000000001</v>
      </c>
      <c r="E11" s="78">
        <v>0.13275500000000001</v>
      </c>
      <c r="F11" s="78">
        <v>4.9283E-2</v>
      </c>
      <c r="G11" s="78">
        <v>0.14870900000000001</v>
      </c>
      <c r="H11" s="78">
        <v>0</v>
      </c>
      <c r="I11" s="79">
        <f t="shared" si="0"/>
        <v>-1</v>
      </c>
      <c r="J11" s="80">
        <f t="shared" si="1"/>
        <v>0.16595679999999999</v>
      </c>
      <c r="K11" s="93">
        <f t="shared" si="2"/>
        <v>-1</v>
      </c>
      <c r="L11" s="95" t="s">
        <v>346</v>
      </c>
      <c r="M11" s="97" t="s">
        <v>345</v>
      </c>
    </row>
    <row r="12" spans="1:13" x14ac:dyDescent="0.25">
      <c r="A12" s="164"/>
      <c r="B12" s="153" t="s">
        <v>416</v>
      </c>
      <c r="C12" s="77" t="s">
        <v>45</v>
      </c>
      <c r="D12" s="78">
        <v>0.56649300000000002</v>
      </c>
      <c r="E12" s="78">
        <v>0.64385899999999996</v>
      </c>
      <c r="F12" s="78">
        <v>0.45018399999999997</v>
      </c>
      <c r="G12" s="78">
        <v>0.35331699999999999</v>
      </c>
      <c r="H12" s="78">
        <v>0</v>
      </c>
      <c r="I12" s="79">
        <f t="shared" si="0"/>
        <v>-1</v>
      </c>
      <c r="J12" s="80">
        <f t="shared" si="1"/>
        <v>0.40277059999999992</v>
      </c>
      <c r="K12" s="93">
        <f t="shared" si="2"/>
        <v>-1</v>
      </c>
      <c r="L12" s="95" t="s">
        <v>346</v>
      </c>
      <c r="M12" s="97" t="s">
        <v>345</v>
      </c>
    </row>
    <row r="13" spans="1:13" x14ac:dyDescent="0.25">
      <c r="A13" s="75" t="s">
        <v>64</v>
      </c>
      <c r="B13" s="86" t="s">
        <v>63</v>
      </c>
      <c r="C13" s="77" t="s">
        <v>45</v>
      </c>
      <c r="D13" s="78">
        <v>6.8362008000000012</v>
      </c>
      <c r="E13" s="78">
        <v>11.276736570000001</v>
      </c>
      <c r="F13" s="78">
        <v>7.0963791400000007</v>
      </c>
      <c r="G13" s="78">
        <v>9.4969367699999996</v>
      </c>
      <c r="H13" s="78">
        <v>22.546723990000004</v>
      </c>
      <c r="I13" s="79">
        <f t="shared" si="0"/>
        <v>1.3741048862432308</v>
      </c>
      <c r="J13" s="80">
        <f t="shared" si="1"/>
        <v>11.450595454</v>
      </c>
      <c r="K13" s="93">
        <f t="shared" si="2"/>
        <v>0.96904380043605753</v>
      </c>
      <c r="L13" s="95" t="s">
        <v>346</v>
      </c>
      <c r="M13" s="97" t="s">
        <v>345</v>
      </c>
    </row>
    <row r="14" spans="1:13" x14ac:dyDescent="0.25">
      <c r="A14" s="89" t="s">
        <v>301</v>
      </c>
      <c r="B14" s="90" t="s">
        <v>63</v>
      </c>
      <c r="C14" s="91" t="s">
        <v>45</v>
      </c>
      <c r="D14" s="78">
        <f>+D9-D13</f>
        <v>1.0572601999999991</v>
      </c>
      <c r="E14" s="78">
        <f t="shared" ref="E14:H14" si="3">+E9-E13</f>
        <v>-9.8029605699999998</v>
      </c>
      <c r="F14" s="78">
        <f t="shared" si="3"/>
        <v>-6.1970111400000008</v>
      </c>
      <c r="G14" s="78">
        <f t="shared" si="3"/>
        <v>-8.3957017699999987</v>
      </c>
      <c r="H14" s="78">
        <f t="shared" si="3"/>
        <v>-20.523393990000002</v>
      </c>
      <c r="I14" s="79">
        <f t="shared" si="0"/>
        <v>1.444512031541588</v>
      </c>
      <c r="J14" s="80">
        <f t="shared" si="1"/>
        <v>-8.7723614540000003</v>
      </c>
      <c r="K14" s="93">
        <f t="shared" si="2"/>
        <v>1.3395517954452041</v>
      </c>
      <c r="L14" s="95" t="s">
        <v>346</v>
      </c>
      <c r="M14" s="97" t="s">
        <v>345</v>
      </c>
    </row>
    <row r="15" spans="1:13" x14ac:dyDescent="0.25">
      <c r="A15" s="13" t="s">
        <v>308</v>
      </c>
      <c r="B15" s="13"/>
      <c r="C15" s="13"/>
      <c r="D15" s="13"/>
      <c r="E15" s="13"/>
      <c r="F15" s="13"/>
      <c r="G15" s="13"/>
      <c r="H15" s="13"/>
      <c r="I15" s="13"/>
      <c r="J15" s="13"/>
      <c r="K15" s="13"/>
      <c r="L15" s="13"/>
      <c r="M15" s="13"/>
    </row>
    <row r="16" spans="1:13" x14ac:dyDescent="0.25">
      <c r="A16" s="13" t="s">
        <v>310</v>
      </c>
      <c r="B16" s="13"/>
      <c r="C16" s="13"/>
      <c r="D16" s="13"/>
      <c r="E16" s="13"/>
      <c r="F16" s="13"/>
      <c r="G16" s="13"/>
      <c r="H16" s="13"/>
      <c r="I16" s="13"/>
      <c r="J16" s="13"/>
      <c r="K16" s="13"/>
      <c r="L16" s="13"/>
      <c r="M16" s="13"/>
    </row>
    <row r="17" spans="1:1" x14ac:dyDescent="0.25">
      <c r="A17" s="13" t="s">
        <v>271</v>
      </c>
    </row>
  </sheetData>
  <mergeCells count="1">
    <mergeCell ref="A9:A1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FC00A-DA9A-4F67-AFC6-058275E6210D}">
  <sheetPr codeName="Sheet19"/>
  <dimension ref="A1:M18"/>
  <sheetViews>
    <sheetView zoomScaleNormal="100" workbookViewId="0">
      <selection activeCell="A18" sqref="A18"/>
    </sheetView>
  </sheetViews>
  <sheetFormatPr defaultRowHeight="15" x14ac:dyDescent="0.25"/>
  <cols>
    <col min="1" max="1" width="31.85546875" bestFit="1" customWidth="1"/>
    <col min="2" max="2" width="10.5703125" bestFit="1" customWidth="1"/>
    <col min="3" max="3" width="12.140625" bestFit="1" customWidth="1"/>
    <col min="4" max="4" width="10.5703125" bestFit="1" customWidth="1"/>
  </cols>
  <sheetData>
    <row r="1" spans="1:13" x14ac:dyDescent="0.25">
      <c r="A1" s="124" t="s">
        <v>21</v>
      </c>
      <c r="B1" s="124"/>
      <c r="C1" s="124"/>
      <c r="D1" s="124"/>
      <c r="E1" s="124"/>
      <c r="F1" s="124"/>
      <c r="G1" s="124"/>
      <c r="H1" s="124"/>
      <c r="I1" s="124"/>
      <c r="J1" s="124"/>
      <c r="K1" s="124"/>
      <c r="L1" s="124"/>
      <c r="M1" s="124"/>
    </row>
    <row r="2" spans="1:13" x14ac:dyDescent="0.25">
      <c r="A2" s="118" t="s">
        <v>52</v>
      </c>
      <c r="B2" s="119" t="s">
        <v>53</v>
      </c>
      <c r="C2" s="120" t="s">
        <v>44</v>
      </c>
      <c r="D2" s="119" t="str">
        <f>+'Gross Value of Production'!C1</f>
        <v>2018-19</v>
      </c>
      <c r="E2" s="119" t="str">
        <f>+'Gross Value of Production'!D1</f>
        <v>2019-20</v>
      </c>
      <c r="F2" s="119" t="str">
        <f>+'Gross Value of Production'!E1</f>
        <v>2020-21</v>
      </c>
      <c r="G2" s="119" t="str">
        <f>+'Gross Value of Production'!F1</f>
        <v>2021-22s</v>
      </c>
      <c r="H2" s="119" t="str">
        <f>+'Gross Value of Production'!G1</f>
        <v>2022-23e</v>
      </c>
      <c r="I2" s="121" t="s">
        <v>47</v>
      </c>
      <c r="J2" s="121" t="s">
        <v>65</v>
      </c>
      <c r="K2" s="121" t="s">
        <v>49</v>
      </c>
      <c r="L2" s="122" t="s">
        <v>50</v>
      </c>
      <c r="M2" s="123" t="s">
        <v>51</v>
      </c>
    </row>
    <row r="3" spans="1:13" x14ac:dyDescent="0.25">
      <c r="A3" s="98" t="s">
        <v>315</v>
      </c>
      <c r="B3" s="76"/>
      <c r="C3" s="99" t="s">
        <v>45</v>
      </c>
      <c r="D3" s="78">
        <v>592.00293378999993</v>
      </c>
      <c r="E3" s="78">
        <v>647.24634882999999</v>
      </c>
      <c r="F3" s="78">
        <v>670.32424520000006</v>
      </c>
      <c r="G3" s="78">
        <v>686.88446167231552</v>
      </c>
      <c r="H3" s="78">
        <v>807.30844129480977</v>
      </c>
      <c r="I3" s="79">
        <f t="shared" ref="I3:I15" si="0">IF(ISBLANK(H3),"N/A",IF(ISNA(H3/G3-1),"N/A",IF(ISERROR(H3/G3-1),"N/A",H3/G3-1)))</f>
        <v>0.17531912037914688</v>
      </c>
      <c r="J3" s="80">
        <f t="shared" ref="J3:J15" si="1">IF(ISBLANK(H3),"",IF(ISNA(AVERAGE(D3:H3)),"N/A",IF(ISERROR(AVERAGE(D3:H3)),"N/A",AVERAGE(D3:H3))))</f>
        <v>680.75328615742501</v>
      </c>
      <c r="K3" s="79">
        <f t="shared" ref="K3:K15" si="2">IF(ISBLANK(H3),"",IF(ISNA(H3/AVERAGE(D3:H3)-1),"N/A",IF(ISERROR(H3/AVERAGE(D3:H3)-1),"N/A",H3/AVERAGE(D3:H3)-1)))</f>
        <v>0.18590458204283822</v>
      </c>
      <c r="L3" s="95" t="s">
        <v>352</v>
      </c>
      <c r="M3" s="97" t="s">
        <v>353</v>
      </c>
    </row>
    <row r="4" spans="1:13" x14ac:dyDescent="0.25">
      <c r="A4" s="98" t="s">
        <v>237</v>
      </c>
      <c r="B4" s="76"/>
      <c r="C4" s="100" t="s">
        <v>76</v>
      </c>
      <c r="D4" s="85">
        <v>262.70961</v>
      </c>
      <c r="E4" s="85">
        <v>254.40582000000001</v>
      </c>
      <c r="F4" s="85">
        <v>282.65911999999997</v>
      </c>
      <c r="G4" s="81" t="s">
        <v>151</v>
      </c>
      <c r="H4" s="81" t="s">
        <v>151</v>
      </c>
      <c r="I4" s="79" t="str">
        <f t="shared" si="0"/>
        <v>N/A</v>
      </c>
      <c r="J4" s="80">
        <f t="shared" si="1"/>
        <v>266.59151666666668</v>
      </c>
      <c r="K4" s="79" t="str">
        <f t="shared" si="2"/>
        <v>N/A</v>
      </c>
      <c r="L4" s="81" t="s">
        <v>377</v>
      </c>
      <c r="M4" s="82" t="s">
        <v>378</v>
      </c>
    </row>
    <row r="5" spans="1:13" x14ac:dyDescent="0.25">
      <c r="A5" s="98" t="s">
        <v>238</v>
      </c>
      <c r="B5" s="86"/>
      <c r="C5" s="100" t="s">
        <v>76</v>
      </c>
      <c r="D5" s="85">
        <v>148.55000000000001</v>
      </c>
      <c r="E5" s="85">
        <v>144.14183</v>
      </c>
      <c r="F5" s="85">
        <v>158.85482999999999</v>
      </c>
      <c r="G5" s="81" t="s">
        <v>151</v>
      </c>
      <c r="H5" s="81" t="s">
        <v>151</v>
      </c>
      <c r="I5" s="79" t="str">
        <f t="shared" si="0"/>
        <v>N/A</v>
      </c>
      <c r="J5" s="80">
        <f t="shared" si="1"/>
        <v>150.51555333333332</v>
      </c>
      <c r="K5" s="79" t="str">
        <f t="shared" si="2"/>
        <v>N/A</v>
      </c>
      <c r="L5" s="81" t="s">
        <v>377</v>
      </c>
      <c r="M5" s="82" t="s">
        <v>378</v>
      </c>
    </row>
    <row r="6" spans="1:13" x14ac:dyDescent="0.25">
      <c r="A6" s="98" t="s">
        <v>239</v>
      </c>
      <c r="B6" s="86"/>
      <c r="C6" s="100" t="s">
        <v>79</v>
      </c>
      <c r="D6" s="101">
        <v>0.11475553632233999</v>
      </c>
      <c r="E6" s="101">
        <v>0.10792451459396625</v>
      </c>
      <c r="F6" s="101">
        <v>0.10341778897411041</v>
      </c>
      <c r="G6" s="81" t="s">
        <v>151</v>
      </c>
      <c r="H6" s="81" t="s">
        <v>151</v>
      </c>
      <c r="I6" s="79" t="str">
        <f t="shared" si="0"/>
        <v>N/A</v>
      </c>
      <c r="J6" s="80">
        <f t="shared" si="1"/>
        <v>0.10869927996347221</v>
      </c>
      <c r="K6" s="79" t="str">
        <f t="shared" si="2"/>
        <v>N/A</v>
      </c>
      <c r="L6" s="81" t="s">
        <v>377</v>
      </c>
      <c r="M6" s="82" t="s">
        <v>378</v>
      </c>
    </row>
    <row r="7" spans="1:13" x14ac:dyDescent="0.25">
      <c r="A7" s="98" t="s">
        <v>398</v>
      </c>
      <c r="B7" s="76"/>
      <c r="C7" s="100" t="s">
        <v>210</v>
      </c>
      <c r="D7" s="85">
        <v>1094.1582611447568</v>
      </c>
      <c r="E7" s="85">
        <v>1053.6095819277216</v>
      </c>
      <c r="F7" s="85">
        <v>1075.4441640654395</v>
      </c>
      <c r="G7" s="85">
        <v>1072.4243484740227</v>
      </c>
      <c r="H7" s="85">
        <v>989.86320143758917</v>
      </c>
      <c r="I7" s="79">
        <f t="shared" si="0"/>
        <v>-7.6985520847145716E-2</v>
      </c>
      <c r="J7" s="80">
        <f t="shared" si="1"/>
        <v>1057.0999114099059</v>
      </c>
      <c r="K7" s="79">
        <f t="shared" si="2"/>
        <v>-6.360487712333629E-2</v>
      </c>
      <c r="L7" s="87" t="s">
        <v>399</v>
      </c>
      <c r="M7" s="102" t="s">
        <v>400</v>
      </c>
    </row>
    <row r="8" spans="1:13" x14ac:dyDescent="0.25">
      <c r="A8" s="98" t="s">
        <v>401</v>
      </c>
      <c r="B8" s="76"/>
      <c r="C8" s="99" t="s">
        <v>145</v>
      </c>
      <c r="D8" s="81">
        <v>50.5</v>
      </c>
      <c r="E8" s="81">
        <v>54.7</v>
      </c>
      <c r="F8" s="81">
        <v>62</v>
      </c>
      <c r="G8" s="156">
        <v>62.56</v>
      </c>
      <c r="H8" s="156">
        <v>78.94</v>
      </c>
      <c r="I8" s="79">
        <f t="shared" si="0"/>
        <v>0.26182864450127874</v>
      </c>
      <c r="J8" s="80">
        <f t="shared" si="1"/>
        <v>61.739999999999995</v>
      </c>
      <c r="K8" s="79">
        <f t="shared" si="2"/>
        <v>0.27858762552640104</v>
      </c>
      <c r="L8" s="103" t="s">
        <v>402</v>
      </c>
      <c r="M8" s="104" t="s">
        <v>403</v>
      </c>
    </row>
    <row r="9" spans="1:13" x14ac:dyDescent="0.25">
      <c r="A9" s="98" t="s">
        <v>240</v>
      </c>
      <c r="B9" s="76"/>
      <c r="C9" s="99" t="s">
        <v>241</v>
      </c>
      <c r="D9" s="154">
        <v>7.67</v>
      </c>
      <c r="E9" s="154">
        <v>8.5500000000000007</v>
      </c>
      <c r="F9" s="154">
        <v>8.5299999999999994</v>
      </c>
      <c r="G9" s="154">
        <v>8.7799999999999994</v>
      </c>
      <c r="H9" s="154">
        <v>11.18</v>
      </c>
      <c r="I9" s="79">
        <f t="shared" si="0"/>
        <v>0.27334851936218696</v>
      </c>
      <c r="J9" s="80">
        <f t="shared" si="1"/>
        <v>8.9420000000000002</v>
      </c>
      <c r="K9" s="79">
        <f t="shared" si="2"/>
        <v>0.25027957951241331</v>
      </c>
      <c r="L9" s="103" t="s">
        <v>328</v>
      </c>
      <c r="M9" s="104" t="s">
        <v>329</v>
      </c>
    </row>
    <row r="10" spans="1:13" x14ac:dyDescent="0.25">
      <c r="A10" s="160" t="s">
        <v>62</v>
      </c>
      <c r="B10" s="86" t="s">
        <v>63</v>
      </c>
      <c r="C10" s="99" t="s">
        <v>45</v>
      </c>
      <c r="D10" s="78">
        <v>17.791698</v>
      </c>
      <c r="E10" s="78">
        <v>20.727937000000001</v>
      </c>
      <c r="F10" s="78">
        <v>38.002543000000003</v>
      </c>
      <c r="G10" s="78">
        <v>12.283333000000001</v>
      </c>
      <c r="H10" s="78">
        <v>15.400045</v>
      </c>
      <c r="I10" s="79">
        <f t="shared" si="0"/>
        <v>0.253735040806921</v>
      </c>
      <c r="J10" s="80">
        <f t="shared" si="1"/>
        <v>20.8411112</v>
      </c>
      <c r="K10" s="79">
        <f t="shared" si="2"/>
        <v>-0.26107370896807081</v>
      </c>
      <c r="L10" s="95" t="s">
        <v>346</v>
      </c>
      <c r="M10" s="97" t="s">
        <v>345</v>
      </c>
    </row>
    <row r="11" spans="1:13" x14ac:dyDescent="0.25">
      <c r="A11" s="160"/>
      <c r="B11" s="88" t="s">
        <v>330</v>
      </c>
      <c r="C11" s="99" t="s">
        <v>45</v>
      </c>
      <c r="D11" s="78">
        <v>11.632845</v>
      </c>
      <c r="E11" s="78">
        <v>11.938378</v>
      </c>
      <c r="F11" s="78">
        <v>32.013775000000003</v>
      </c>
      <c r="G11" s="78">
        <v>7.8199149999999999</v>
      </c>
      <c r="H11" s="78">
        <v>6.9536480000000003</v>
      </c>
      <c r="I11" s="79">
        <f t="shared" si="0"/>
        <v>-0.11077703530025573</v>
      </c>
      <c r="J11" s="80">
        <f t="shared" si="1"/>
        <v>14.071712199999999</v>
      </c>
      <c r="K11" s="79">
        <f t="shared" si="2"/>
        <v>-0.50584208224497362</v>
      </c>
      <c r="L11" s="95" t="s">
        <v>346</v>
      </c>
      <c r="M11" s="97" t="s">
        <v>345</v>
      </c>
    </row>
    <row r="12" spans="1:13" x14ac:dyDescent="0.25">
      <c r="A12" s="160"/>
      <c r="B12" s="88" t="s">
        <v>337</v>
      </c>
      <c r="C12" s="99" t="s">
        <v>45</v>
      </c>
      <c r="D12" s="78">
        <v>1.7445029999999999</v>
      </c>
      <c r="E12" s="78">
        <v>3.6486930000000002</v>
      </c>
      <c r="F12" s="78">
        <v>2.9146969999999999</v>
      </c>
      <c r="G12" s="78">
        <v>2.2506940000000002</v>
      </c>
      <c r="H12" s="78">
        <v>2.416366</v>
      </c>
      <c r="I12" s="79">
        <f t="shared" si="0"/>
        <v>7.3609295621706039E-2</v>
      </c>
      <c r="J12" s="80">
        <f t="shared" si="1"/>
        <v>2.5949906</v>
      </c>
      <c r="K12" s="79">
        <f t="shared" si="2"/>
        <v>-6.8834391924194271E-2</v>
      </c>
      <c r="L12" s="95" t="s">
        <v>346</v>
      </c>
      <c r="M12" s="97" t="s">
        <v>345</v>
      </c>
    </row>
    <row r="13" spans="1:13" x14ac:dyDescent="0.25">
      <c r="A13" s="160"/>
      <c r="B13" s="88" t="s">
        <v>416</v>
      </c>
      <c r="C13" s="99" t="s">
        <v>45</v>
      </c>
      <c r="D13" s="78">
        <v>2.7993000000000001</v>
      </c>
      <c r="E13" s="78">
        <v>2.569426</v>
      </c>
      <c r="F13" s="78">
        <v>1.5370470000000001</v>
      </c>
      <c r="G13" s="78">
        <v>0.83058699999999996</v>
      </c>
      <c r="H13" s="78">
        <v>5.9551E-2</v>
      </c>
      <c r="I13" s="79">
        <f t="shared" si="0"/>
        <v>-0.92830251376436179</v>
      </c>
      <c r="J13" s="80">
        <f t="shared" si="1"/>
        <v>1.5591822000000002</v>
      </c>
      <c r="K13" s="79">
        <f t="shared" si="2"/>
        <v>-0.96180625971743394</v>
      </c>
      <c r="L13" s="95" t="s">
        <v>346</v>
      </c>
      <c r="M13" s="97" t="s">
        <v>345</v>
      </c>
    </row>
    <row r="14" spans="1:13" x14ac:dyDescent="0.25">
      <c r="A14" s="98" t="s">
        <v>64</v>
      </c>
      <c r="B14" s="86" t="s">
        <v>63</v>
      </c>
      <c r="C14" s="99" t="s">
        <v>45</v>
      </c>
      <c r="D14" s="78">
        <v>1.33954839</v>
      </c>
      <c r="E14" s="78">
        <v>1.2584556400000002</v>
      </c>
      <c r="F14" s="78">
        <v>1.0594188999999998</v>
      </c>
      <c r="G14" s="78">
        <v>0.74182711000000001</v>
      </c>
      <c r="H14" s="78">
        <v>1.9716918600000002</v>
      </c>
      <c r="I14" s="79">
        <f t="shared" si="0"/>
        <v>1.6578859594387163</v>
      </c>
      <c r="J14" s="80">
        <f t="shared" si="1"/>
        <v>1.27418838</v>
      </c>
      <c r="K14" s="79">
        <f t="shared" si="2"/>
        <v>0.54741001483626794</v>
      </c>
      <c r="L14" s="95" t="s">
        <v>346</v>
      </c>
      <c r="M14" s="97" t="s">
        <v>345</v>
      </c>
    </row>
    <row r="15" spans="1:13" x14ac:dyDescent="0.25">
      <c r="A15" s="98" t="s">
        <v>301</v>
      </c>
      <c r="B15" s="86" t="s">
        <v>63</v>
      </c>
      <c r="C15" s="99" t="s">
        <v>45</v>
      </c>
      <c r="D15" s="78">
        <f>+D10-D14</f>
        <v>16.452149609999999</v>
      </c>
      <c r="E15" s="78">
        <f t="shared" ref="E15:H15" si="3">+E10-E14</f>
        <v>19.46948136</v>
      </c>
      <c r="F15" s="78">
        <f t="shared" si="3"/>
        <v>36.943124100000006</v>
      </c>
      <c r="G15" s="78">
        <f t="shared" si="3"/>
        <v>11.54150589</v>
      </c>
      <c r="H15" s="78">
        <f t="shared" si="3"/>
        <v>13.42835314</v>
      </c>
      <c r="I15" s="79">
        <f t="shared" si="0"/>
        <v>0.16348362752514278</v>
      </c>
      <c r="J15" s="80">
        <f t="shared" si="1"/>
        <v>19.566922819999998</v>
      </c>
      <c r="K15" s="79">
        <f t="shared" si="2"/>
        <v>-0.31372177099434173</v>
      </c>
      <c r="L15" s="95" t="s">
        <v>346</v>
      </c>
      <c r="M15" s="97" t="s">
        <v>345</v>
      </c>
    </row>
    <row r="16" spans="1:13" x14ac:dyDescent="0.25">
      <c r="A16" s="13" t="s">
        <v>404</v>
      </c>
      <c r="B16" s="13"/>
      <c r="C16" s="13"/>
      <c r="D16" s="13"/>
      <c r="E16" s="13"/>
      <c r="F16" s="13"/>
      <c r="G16" s="13"/>
      <c r="H16" s="13"/>
      <c r="I16" s="13"/>
      <c r="J16" s="13"/>
      <c r="K16" s="13"/>
      <c r="L16" s="13"/>
      <c r="M16" s="13"/>
    </row>
    <row r="17" spans="1:13" x14ac:dyDescent="0.25">
      <c r="A17" s="13" t="s">
        <v>308</v>
      </c>
      <c r="B17" s="13"/>
      <c r="C17" s="13"/>
      <c r="D17" s="13"/>
      <c r="E17" s="13"/>
      <c r="F17" s="13"/>
      <c r="G17" s="13"/>
      <c r="H17" s="13"/>
      <c r="I17" s="13"/>
      <c r="J17" s="13"/>
      <c r="K17" s="13"/>
      <c r="L17" s="13"/>
      <c r="M17" s="13"/>
    </row>
    <row r="18" spans="1:13" x14ac:dyDescent="0.25">
      <c r="A18" s="13" t="s">
        <v>271</v>
      </c>
    </row>
  </sheetData>
  <mergeCells count="1">
    <mergeCell ref="A10:A13"/>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782CF-417A-444C-B06C-2D2136854672}">
  <sheetPr codeName="Sheet2"/>
  <dimension ref="A1:M16"/>
  <sheetViews>
    <sheetView workbookViewId="0">
      <selection activeCell="A16" sqref="A16"/>
    </sheetView>
  </sheetViews>
  <sheetFormatPr defaultRowHeight="15" x14ac:dyDescent="0.25"/>
  <cols>
    <col min="1" max="1" width="25.5703125" customWidth="1"/>
    <col min="2" max="2" width="10.5703125" bestFit="1" customWidth="1"/>
    <col min="3" max="3" width="10" bestFit="1" customWidth="1"/>
    <col min="4" max="8" width="10" customWidth="1"/>
    <col min="10" max="10" width="8.7109375" customWidth="1"/>
  </cols>
  <sheetData>
    <row r="1" spans="1:13" x14ac:dyDescent="0.25">
      <c r="A1" s="124" t="s">
        <v>7</v>
      </c>
      <c r="B1" s="124"/>
      <c r="C1" s="124"/>
      <c r="D1" s="124"/>
      <c r="E1" s="124"/>
      <c r="F1" s="124"/>
      <c r="G1" s="124"/>
      <c r="H1" s="124"/>
      <c r="I1" s="124"/>
      <c r="J1" s="124"/>
      <c r="K1" s="124"/>
      <c r="L1" s="124"/>
      <c r="M1" s="124"/>
    </row>
    <row r="2" spans="1:13" x14ac:dyDescent="0.25">
      <c r="A2" s="118" t="s">
        <v>52</v>
      </c>
      <c r="B2" s="119" t="s">
        <v>53</v>
      </c>
      <c r="C2" s="120" t="s">
        <v>44</v>
      </c>
      <c r="D2" s="119" t="str">
        <f>+'Gross Value of Production'!C1</f>
        <v>2018-19</v>
      </c>
      <c r="E2" s="119" t="str">
        <f>+'Gross Value of Production'!D1</f>
        <v>2019-20</v>
      </c>
      <c r="F2" s="119" t="str">
        <f>+'Gross Value of Production'!E1</f>
        <v>2020-21</v>
      </c>
      <c r="G2" s="119" t="str">
        <f>+'Gross Value of Production'!F1</f>
        <v>2021-22s</v>
      </c>
      <c r="H2" s="119" t="str">
        <f>+'Gross Value of Production'!G1</f>
        <v>2022-23e</v>
      </c>
      <c r="I2" s="121" t="s">
        <v>47</v>
      </c>
      <c r="J2" s="121" t="s">
        <v>65</v>
      </c>
      <c r="K2" s="121" t="s">
        <v>49</v>
      </c>
      <c r="L2" s="122" t="s">
        <v>50</v>
      </c>
      <c r="M2" s="123" t="s">
        <v>51</v>
      </c>
    </row>
    <row r="3" spans="1:13" x14ac:dyDescent="0.25">
      <c r="A3" s="98" t="s">
        <v>315</v>
      </c>
      <c r="B3" s="76"/>
      <c r="C3" s="99" t="s">
        <v>45</v>
      </c>
      <c r="D3" s="113">
        <v>751.61956699999996</v>
      </c>
      <c r="E3" s="113">
        <v>648.93154514999992</v>
      </c>
      <c r="F3" s="113">
        <v>3815.9025056</v>
      </c>
      <c r="G3" s="113">
        <v>3888.1594585195617</v>
      </c>
      <c r="H3" s="113">
        <v>3616.9605879922487</v>
      </c>
      <c r="I3" s="93">
        <f>IF(ISBLANK(H3),"N/A",IF(ISNA(H3/G3-1),"N/A",IF(ISERROR(H3/G3-1),"N/A",H3/G3-1)))</f>
        <v>-6.9749935263862195E-2</v>
      </c>
      <c r="J3" s="94">
        <f>IF(ISBLANK(H3),"",IF(ISNA(AVERAGE(D3:H3)),"N/A",IF(ISERROR(AVERAGE(D3:H3)),"N/A",AVERAGE(D3:H3))))</f>
        <v>2544.3147328523619</v>
      </c>
      <c r="K3" s="93">
        <f>IF(ISBLANK(H3),"",IF(ISNA(H3/AVERAGE(D3:H3)-1),"N/A",IF(ISERROR(H3/AVERAGE(D3:H3)-1),"N/A",H3/AVERAGE(D3:H3)-1)))</f>
        <v>0.42158536492746435</v>
      </c>
      <c r="L3" s="95" t="s">
        <v>352</v>
      </c>
      <c r="M3" s="97" t="s">
        <v>353</v>
      </c>
    </row>
    <row r="4" spans="1:13" x14ac:dyDescent="0.25">
      <c r="A4" s="98" t="s">
        <v>54</v>
      </c>
      <c r="B4" s="86"/>
      <c r="C4" s="100" t="s">
        <v>55</v>
      </c>
      <c r="D4" s="114">
        <v>2381.953</v>
      </c>
      <c r="E4" s="114">
        <v>2132.0160000000001</v>
      </c>
      <c r="F4" s="114">
        <v>4037.0010000000002</v>
      </c>
      <c r="G4" s="114">
        <v>3607.7049999999999</v>
      </c>
      <c r="H4" s="114">
        <v>3600</v>
      </c>
      <c r="I4" s="93">
        <f>IF(ISBLANK(H4),"N/A",IF(ISNA(H4/G4-1),"N/A",IF(ISERROR(H4/G4-1),"N/A",H4/G4-1)))</f>
        <v>-2.1357067720336742E-3</v>
      </c>
      <c r="J4" s="94">
        <f>IF(ISBLANK(H4),"",IF(ISNA(AVERAGE(D4:H4)),"N/A",IF(ISERROR(AVERAGE(D4:H4)),"N/A",AVERAGE(D4:H4))))</f>
        <v>3151.7350000000001</v>
      </c>
      <c r="K4" s="93">
        <f t="shared" ref="K4:K13" si="0">IF(ISBLANK(H4),"",IF(ISNA(H4/AVERAGE(D4:H4)-1),"N/A",IF(ISERROR(H4/AVERAGE(D4:H4)-1),"N/A",H4/AVERAGE(D4:H4)-1)))</f>
        <v>0.14222801092096882</v>
      </c>
      <c r="L4" s="95" t="s">
        <v>355</v>
      </c>
      <c r="M4" s="97" t="s">
        <v>354</v>
      </c>
    </row>
    <row r="5" spans="1:13" x14ac:dyDescent="0.25">
      <c r="A5" s="98" t="s">
        <v>56</v>
      </c>
      <c r="B5" s="86"/>
      <c r="C5" s="99" t="s">
        <v>57</v>
      </c>
      <c r="D5" s="115">
        <f>+D6/D4</f>
        <v>0.776814236049158</v>
      </c>
      <c r="E5" s="115">
        <f t="shared" ref="E5:H5" si="1">+E6/E4</f>
        <v>0.83130942732137092</v>
      </c>
      <c r="F5" s="115">
        <f t="shared" si="1"/>
        <v>3.213313794076345</v>
      </c>
      <c r="G5" s="115">
        <f t="shared" si="1"/>
        <v>3.334367693589138</v>
      </c>
      <c r="H5" s="115">
        <f t="shared" si="1"/>
        <v>2.85</v>
      </c>
      <c r="I5" s="93">
        <f>IF(ISBLANK(H5),"N/A",IF(ISNA(H5/G5-1),"N/A",IF(ISERROR(H5/G5-1),"N/A",H5/G5-1)))</f>
        <v>-0.14526523110226064</v>
      </c>
      <c r="J5" s="116">
        <f>IF(ISBLANK(H5),"",IF(ISNA(AVERAGE(D5:H5)),"N/A",IF(ISERROR(AVERAGE(D5:H5)),"N/A",AVERAGE(D5:H5))))</f>
        <v>2.201161030207202</v>
      </c>
      <c r="K5" s="93">
        <f t="shared" si="0"/>
        <v>0.29477124158050394</v>
      </c>
      <c r="L5" s="95" t="s">
        <v>355</v>
      </c>
      <c r="M5" s="97" t="s">
        <v>354</v>
      </c>
    </row>
    <row r="6" spans="1:13" x14ac:dyDescent="0.25">
      <c r="A6" s="98" t="s">
        <v>58</v>
      </c>
      <c r="B6" s="76"/>
      <c r="C6" s="100" t="s">
        <v>59</v>
      </c>
      <c r="D6" s="114">
        <v>1850.335</v>
      </c>
      <c r="E6" s="114">
        <v>1772.365</v>
      </c>
      <c r="F6" s="114">
        <v>12972.151</v>
      </c>
      <c r="G6" s="114">
        <v>12029.415000000001</v>
      </c>
      <c r="H6" s="114">
        <v>10260</v>
      </c>
      <c r="I6" s="93">
        <f>IF(ISBLANK(H6),"N/A",IF(ISNA(H6/G6-1),"N/A",IF(ISERROR(H6/G6-1),"N/A",H6/G6-1)))</f>
        <v>-0.14709069393648821</v>
      </c>
      <c r="J6" s="94">
        <f>IF(ISBLANK(H6),"",IF(ISNA(AVERAGE(D6:H6)),"N/A",IF(ISERROR(AVERAGE(D6:H6)),"N/A",AVERAGE(D6:H6))))</f>
        <v>7776.8532000000005</v>
      </c>
      <c r="K6" s="93">
        <f t="shared" si="0"/>
        <v>0.31929968795090535</v>
      </c>
      <c r="L6" s="95" t="s">
        <v>355</v>
      </c>
      <c r="M6" s="97" t="s">
        <v>354</v>
      </c>
    </row>
    <row r="7" spans="1:13" x14ac:dyDescent="0.25">
      <c r="A7" s="98" t="s">
        <v>60</v>
      </c>
      <c r="B7" s="76"/>
      <c r="C7" s="99" t="s">
        <v>61</v>
      </c>
      <c r="D7" s="113">
        <v>351.59199999999998</v>
      </c>
      <c r="E7" s="113">
        <v>341.69600000000003</v>
      </c>
      <c r="F7" s="113">
        <v>308.589</v>
      </c>
      <c r="G7" s="113">
        <v>362.72</v>
      </c>
      <c r="H7" s="113">
        <v>395.61099999999999</v>
      </c>
      <c r="I7" s="93">
        <f>IF(ISBLANK(H7),"N/A",IF(ISNA(H7/G7-1),"N/A",IF(ISERROR(H7/G7-1),"N/A",H7/G7-1)))</f>
        <v>9.0678760476400333E-2</v>
      </c>
      <c r="J7" s="94">
        <f>IF(ISBLANK(H7),"",IF(ISNA(AVERAGE(D7:H7)),"N/A",IF(ISERROR(AVERAGE(D7:H7)),"N/A",AVERAGE(D7:H7))))</f>
        <v>352.04160000000002</v>
      </c>
      <c r="K7" s="93">
        <f t="shared" si="0"/>
        <v>0.12376207811804041</v>
      </c>
      <c r="L7" s="107" t="s">
        <v>357</v>
      </c>
      <c r="M7" s="97" t="s">
        <v>356</v>
      </c>
    </row>
    <row r="8" spans="1:13" x14ac:dyDescent="0.25">
      <c r="A8" s="160" t="s">
        <v>62</v>
      </c>
      <c r="B8" s="86" t="s">
        <v>63</v>
      </c>
      <c r="C8" s="99" t="s">
        <v>45</v>
      </c>
      <c r="D8" s="113">
        <v>94.138112000000007</v>
      </c>
      <c r="E8" s="113">
        <v>46.473123999999999</v>
      </c>
      <c r="F8" s="113">
        <v>1422.9298839999999</v>
      </c>
      <c r="G8" s="113">
        <v>2921.8144390000002</v>
      </c>
      <c r="H8" s="113">
        <v>3292.7687769999998</v>
      </c>
      <c r="I8" s="93">
        <f t="shared" ref="I8:I13" si="2">IF(ISBLANK(H8),"N/A",IF(ISNA(H8/G8-1),"N/A",IF(ISERROR(H8/G8-1),"N/A",H8/G8-1)))</f>
        <v>0.12696026587060061</v>
      </c>
      <c r="J8" s="94">
        <f t="shared" ref="J8:J13" si="3">IF(ISBLANK(H8),"",IF(ISNA(AVERAGE(D8:H8)),"N/A",IF(ISERROR(AVERAGE(D8:H8)),"N/A",AVERAGE(D8:H8))))</f>
        <v>1555.6248671999997</v>
      </c>
      <c r="K8" s="93">
        <f t="shared" si="0"/>
        <v>1.1166856138824266</v>
      </c>
      <c r="L8" s="95" t="s">
        <v>346</v>
      </c>
      <c r="M8" s="97" t="s">
        <v>345</v>
      </c>
    </row>
    <row r="9" spans="1:13" x14ac:dyDescent="0.25">
      <c r="A9" s="160"/>
      <c r="B9" s="113" t="s">
        <v>330</v>
      </c>
      <c r="C9" s="99" t="s">
        <v>45</v>
      </c>
      <c r="D9" s="113">
        <v>8.7634570000000007</v>
      </c>
      <c r="E9" s="113">
        <v>5.4775970000000003</v>
      </c>
      <c r="F9" s="113">
        <v>162.24808200000001</v>
      </c>
      <c r="G9" s="113">
        <v>558.09519299999999</v>
      </c>
      <c r="H9" s="113">
        <v>873.57283800000005</v>
      </c>
      <c r="I9" s="93">
        <f t="shared" si="2"/>
        <v>0.56527568944676432</v>
      </c>
      <c r="J9" s="94">
        <f t="shared" si="3"/>
        <v>321.63143339999999</v>
      </c>
      <c r="K9" s="93">
        <f t="shared" si="0"/>
        <v>1.7160679811838317</v>
      </c>
      <c r="L9" s="95" t="s">
        <v>346</v>
      </c>
      <c r="M9" s="97" t="s">
        <v>345</v>
      </c>
    </row>
    <row r="10" spans="1:13" x14ac:dyDescent="0.25">
      <c r="A10" s="160"/>
      <c r="B10" s="113" t="s">
        <v>405</v>
      </c>
      <c r="C10" s="99" t="s">
        <v>45</v>
      </c>
      <c r="D10" s="113">
        <v>20.168037999999999</v>
      </c>
      <c r="E10" s="113">
        <v>4.6854199999999997</v>
      </c>
      <c r="F10" s="113">
        <v>264.67167699999999</v>
      </c>
      <c r="G10" s="113">
        <v>693.68962299999998</v>
      </c>
      <c r="H10" s="113">
        <v>593.48110099999997</v>
      </c>
      <c r="I10" s="93">
        <f t="shared" si="2"/>
        <v>-0.14445728850120054</v>
      </c>
      <c r="J10" s="94">
        <f t="shared" si="3"/>
        <v>315.33917179999997</v>
      </c>
      <c r="K10" s="93">
        <f t="shared" si="0"/>
        <v>0.88204052675196376</v>
      </c>
      <c r="L10" s="95" t="s">
        <v>346</v>
      </c>
      <c r="M10" s="97" t="s">
        <v>345</v>
      </c>
    </row>
    <row r="11" spans="1:13" x14ac:dyDescent="0.25">
      <c r="A11" s="160"/>
      <c r="B11" s="113" t="s">
        <v>406</v>
      </c>
      <c r="C11" s="99" t="s">
        <v>45</v>
      </c>
      <c r="D11" s="113">
        <v>0</v>
      </c>
      <c r="E11" s="113">
        <v>0</v>
      </c>
      <c r="F11" s="113">
        <v>282.534088</v>
      </c>
      <c r="G11" s="113">
        <v>363.49632600000001</v>
      </c>
      <c r="H11" s="113">
        <v>184.55249900000001</v>
      </c>
      <c r="I11" s="93">
        <f t="shared" si="2"/>
        <v>-0.49228510496692057</v>
      </c>
      <c r="J11" s="94">
        <f t="shared" si="3"/>
        <v>166.11658260000002</v>
      </c>
      <c r="K11" s="93">
        <f t="shared" si="0"/>
        <v>0.11098179430040833</v>
      </c>
      <c r="L11" s="95" t="s">
        <v>346</v>
      </c>
      <c r="M11" s="97" t="s">
        <v>345</v>
      </c>
    </row>
    <row r="12" spans="1:13" x14ac:dyDescent="0.25">
      <c r="A12" s="98" t="s">
        <v>64</v>
      </c>
      <c r="B12" s="86" t="s">
        <v>63</v>
      </c>
      <c r="C12" s="99" t="s">
        <v>45</v>
      </c>
      <c r="D12" s="113">
        <v>42.700044290000001</v>
      </c>
      <c r="E12" s="113">
        <v>209.45143615999999</v>
      </c>
      <c r="F12" s="113">
        <v>81.377630409999995</v>
      </c>
      <c r="G12" s="113">
        <v>0.36599771000000003</v>
      </c>
      <c r="H12" s="113">
        <v>0.12195565</v>
      </c>
      <c r="I12" s="93">
        <f t="shared" si="2"/>
        <v>-0.66678575666498019</v>
      </c>
      <c r="J12" s="94">
        <f t="shared" si="3"/>
        <v>66.803412843999993</v>
      </c>
      <c r="K12" s="93">
        <f t="shared" si="0"/>
        <v>-0.99817440988703987</v>
      </c>
      <c r="L12" s="95" t="s">
        <v>346</v>
      </c>
      <c r="M12" s="97" t="s">
        <v>345</v>
      </c>
    </row>
    <row r="13" spans="1:13" x14ac:dyDescent="0.25">
      <c r="A13" s="98" t="s">
        <v>301</v>
      </c>
      <c r="B13" s="86" t="s">
        <v>63</v>
      </c>
      <c r="C13" s="99" t="s">
        <v>45</v>
      </c>
      <c r="D13" s="117">
        <f t="shared" ref="D13:G13" si="4">+D8-D12</f>
        <v>51.438067710000006</v>
      </c>
      <c r="E13" s="117">
        <f t="shared" si="4"/>
        <v>-162.97831215999997</v>
      </c>
      <c r="F13" s="117">
        <f t="shared" si="4"/>
        <v>1341.55225359</v>
      </c>
      <c r="G13" s="117">
        <f t="shared" si="4"/>
        <v>2921.4484412900001</v>
      </c>
      <c r="H13" s="117">
        <f>+H8-H12</f>
        <v>3292.6468213499998</v>
      </c>
      <c r="I13" s="93">
        <f t="shared" si="2"/>
        <v>0.12705970600531713</v>
      </c>
      <c r="J13" s="94">
        <f t="shared" si="3"/>
        <v>1488.821454356</v>
      </c>
      <c r="K13" s="93">
        <f t="shared" si="0"/>
        <v>1.2115793748917039</v>
      </c>
      <c r="L13" s="95" t="s">
        <v>346</v>
      </c>
      <c r="M13" s="97" t="s">
        <v>345</v>
      </c>
    </row>
    <row r="14" spans="1:13" x14ac:dyDescent="0.25">
      <c r="A14" s="13" t="s">
        <v>294</v>
      </c>
    </row>
    <row r="15" spans="1:13" x14ac:dyDescent="0.25">
      <c r="A15" s="13" t="s">
        <v>308</v>
      </c>
    </row>
    <row r="16" spans="1:13" x14ac:dyDescent="0.25">
      <c r="A16" s="13" t="s">
        <v>271</v>
      </c>
    </row>
  </sheetData>
  <mergeCells count="1">
    <mergeCell ref="A8:A11"/>
  </mergeCells>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09037-3CD8-4848-A10B-9B58D979E27A}">
  <sheetPr codeName="Sheet20"/>
  <dimension ref="A1:M22"/>
  <sheetViews>
    <sheetView workbookViewId="0">
      <selection activeCell="A22" sqref="A22"/>
    </sheetView>
  </sheetViews>
  <sheetFormatPr defaultRowHeight="15" x14ac:dyDescent="0.25"/>
  <cols>
    <col min="1" max="1" width="21.7109375" bestFit="1" customWidth="1"/>
    <col min="8" max="8" width="13.42578125" bestFit="1" customWidth="1"/>
    <col min="12" max="12" width="14.42578125" customWidth="1"/>
    <col min="13" max="13" width="10.42578125" customWidth="1"/>
  </cols>
  <sheetData>
    <row r="1" spans="1:13" x14ac:dyDescent="0.25">
      <c r="A1" s="124" t="s">
        <v>22</v>
      </c>
      <c r="B1" s="124"/>
      <c r="C1" s="124"/>
      <c r="D1" s="124"/>
      <c r="E1" s="124"/>
      <c r="F1" s="124"/>
      <c r="G1" s="124"/>
      <c r="H1" s="124"/>
      <c r="I1" s="124"/>
      <c r="J1" s="124"/>
      <c r="K1" s="124"/>
      <c r="L1" s="124"/>
      <c r="M1" s="124"/>
    </row>
    <row r="2" spans="1:13" x14ac:dyDescent="0.25">
      <c r="A2" s="125" t="s">
        <v>52</v>
      </c>
      <c r="B2" s="119" t="s">
        <v>53</v>
      </c>
      <c r="C2" s="126" t="s">
        <v>44</v>
      </c>
      <c r="D2" s="119" t="str">
        <f>+'Gross Value of Production'!C1</f>
        <v>2018-19</v>
      </c>
      <c r="E2" s="119" t="str">
        <f>+'Gross Value of Production'!D1</f>
        <v>2019-20</v>
      </c>
      <c r="F2" s="119" t="str">
        <f>+'Gross Value of Production'!E1</f>
        <v>2020-21</v>
      </c>
      <c r="G2" s="119" t="str">
        <f>+'Gross Value of Production'!F1</f>
        <v>2021-22s</v>
      </c>
      <c r="H2" s="119" t="str">
        <f>+'Gross Value of Production'!G1</f>
        <v>2022-23e</v>
      </c>
      <c r="I2" s="121" t="s">
        <v>47</v>
      </c>
      <c r="J2" s="121" t="s">
        <v>65</v>
      </c>
      <c r="K2" s="121" t="s">
        <v>49</v>
      </c>
      <c r="L2" s="122" t="s">
        <v>50</v>
      </c>
      <c r="M2" s="123" t="s">
        <v>51</v>
      </c>
    </row>
    <row r="3" spans="1:13" x14ac:dyDescent="0.25">
      <c r="A3" s="75" t="s">
        <v>297</v>
      </c>
      <c r="B3" s="76"/>
      <c r="C3" s="77" t="s">
        <v>45</v>
      </c>
      <c r="D3" s="92">
        <f>+SUM(D4:D5)</f>
        <v>514.10942020150719</v>
      </c>
      <c r="E3" s="92">
        <f t="shared" ref="E3:H3" si="0">+SUM(E4:E5)</f>
        <v>542.36630866202813</v>
      </c>
      <c r="F3" s="92">
        <f t="shared" si="0"/>
        <v>455.39486886049849</v>
      </c>
      <c r="G3" s="92">
        <f t="shared" si="0"/>
        <v>395.58530664340691</v>
      </c>
      <c r="H3" s="92">
        <f t="shared" si="0"/>
        <v>432.26862737498931</v>
      </c>
      <c r="I3" s="93">
        <f t="shared" ref="I3:I17" si="1">IF(ISBLANK(H3),"N/A",IF(ISNA(H3/G3-1),"N/A",IF(ISERROR(H3/G3-1),"N/A",H3/G3-1)))</f>
        <v>9.2731757513556667E-2</v>
      </c>
      <c r="J3" s="94">
        <f t="shared" ref="J3:J17" si="2">IF(ISBLANK(H3),"",IF(ISNA(AVERAGE(D3:H3)),"N/A",IF(ISERROR(AVERAGE(D3:H3)),"N/A",AVERAGE(D3:H3))))</f>
        <v>467.94490634848597</v>
      </c>
      <c r="K3" s="93">
        <f t="shared" ref="K3:K17" si="3">IF(ISBLANK(H3),"",IF(ISNA(H3/AVERAGE(D3:H3)-1),"N/A",IF(ISERROR(H3/AVERAGE(D3:H3)-1),"N/A",H3/AVERAGE(D3:H3)-1)))</f>
        <v>-7.6240340453514799E-2</v>
      </c>
      <c r="L3" s="95" t="s">
        <v>347</v>
      </c>
      <c r="M3" s="96" t="s">
        <v>344</v>
      </c>
    </row>
    <row r="4" spans="1:13" x14ac:dyDescent="0.25">
      <c r="A4" s="75" t="s">
        <v>302</v>
      </c>
      <c r="B4" s="76"/>
      <c r="C4" s="77" t="s">
        <v>45</v>
      </c>
      <c r="D4" s="92">
        <v>348.11014594497101</v>
      </c>
      <c r="E4" s="92">
        <v>420.86483681995799</v>
      </c>
      <c r="F4" s="92">
        <v>360.81427178231399</v>
      </c>
      <c r="G4" s="92">
        <v>284.81670038722302</v>
      </c>
      <c r="H4" s="92">
        <v>310.42911613786669</v>
      </c>
      <c r="I4" s="93">
        <f t="shared" si="1"/>
        <v>8.9925961911019536E-2</v>
      </c>
      <c r="J4" s="94">
        <f t="shared" si="2"/>
        <v>345.00701421446649</v>
      </c>
      <c r="K4" s="93">
        <f t="shared" si="3"/>
        <v>-0.10022375387158122</v>
      </c>
      <c r="L4" s="95" t="s">
        <v>347</v>
      </c>
      <c r="M4" s="96" t="s">
        <v>344</v>
      </c>
    </row>
    <row r="5" spans="1:13" x14ac:dyDescent="0.25">
      <c r="A5" s="75" t="s">
        <v>303</v>
      </c>
      <c r="B5" s="76"/>
      <c r="C5" s="77" t="s">
        <v>45</v>
      </c>
      <c r="D5" s="92">
        <v>165.99927425653613</v>
      </c>
      <c r="E5" s="92">
        <v>121.5014718420702</v>
      </c>
      <c r="F5" s="92">
        <v>94.580597078184496</v>
      </c>
      <c r="G5" s="92">
        <v>110.7686062561839</v>
      </c>
      <c r="H5" s="92">
        <v>121.83951123712261</v>
      </c>
      <c r="I5" s="93">
        <f t="shared" si="1"/>
        <v>9.9946233460174616E-2</v>
      </c>
      <c r="J5" s="94">
        <f t="shared" si="2"/>
        <v>122.93789213401946</v>
      </c>
      <c r="K5" s="93">
        <f t="shared" si="3"/>
        <v>-8.9344373637012531E-3</v>
      </c>
      <c r="L5" s="95" t="s">
        <v>347</v>
      </c>
      <c r="M5" s="96" t="s">
        <v>344</v>
      </c>
    </row>
    <row r="6" spans="1:13" x14ac:dyDescent="0.25">
      <c r="A6" s="75" t="s">
        <v>242</v>
      </c>
      <c r="B6" s="86"/>
      <c r="C6" s="83" t="s">
        <v>55</v>
      </c>
      <c r="D6" s="85">
        <v>306</v>
      </c>
      <c r="E6" s="85">
        <v>304</v>
      </c>
      <c r="F6" s="85">
        <v>292.49563330686499</v>
      </c>
      <c r="G6" s="85">
        <v>291.78440830115699</v>
      </c>
      <c r="H6" s="81" t="s">
        <v>151</v>
      </c>
      <c r="I6" s="93" t="str">
        <f t="shared" si="1"/>
        <v>N/A</v>
      </c>
      <c r="J6" s="94">
        <f t="shared" si="2"/>
        <v>298.57001040200549</v>
      </c>
      <c r="K6" s="93" t="str">
        <f t="shared" si="3"/>
        <v>N/A</v>
      </c>
      <c r="L6" s="95" t="s">
        <v>347</v>
      </c>
      <c r="M6" s="96" t="s">
        <v>344</v>
      </c>
    </row>
    <row r="7" spans="1:13" x14ac:dyDescent="0.25">
      <c r="A7" s="75" t="s">
        <v>243</v>
      </c>
      <c r="B7" s="76"/>
      <c r="C7" s="83" t="s">
        <v>55</v>
      </c>
      <c r="D7" s="85">
        <v>87.1</v>
      </c>
      <c r="E7" s="85">
        <v>55.7</v>
      </c>
      <c r="F7" s="85">
        <v>55.0320347480503</v>
      </c>
      <c r="G7" s="85">
        <v>54.989044953797702</v>
      </c>
      <c r="H7" s="81" t="s">
        <v>151</v>
      </c>
      <c r="I7" s="93" t="str">
        <f>IF(ISBLANK(H7),"N/A",IF(ISNA(H7/G7-1),"N/A",IF(ISERROR(H7/G7-1),"N/A",H7/G7-1)))</f>
        <v>N/A</v>
      </c>
      <c r="J7" s="94">
        <f t="shared" si="2"/>
        <v>63.205269925462005</v>
      </c>
      <c r="K7" s="93" t="str">
        <f t="shared" si="3"/>
        <v>N/A</v>
      </c>
      <c r="L7" s="95" t="s">
        <v>347</v>
      </c>
      <c r="M7" s="96" t="s">
        <v>344</v>
      </c>
    </row>
    <row r="8" spans="1:13" x14ac:dyDescent="0.25">
      <c r="A8" s="75" t="s">
        <v>244</v>
      </c>
      <c r="B8" s="76"/>
      <c r="C8" s="83" t="s">
        <v>304</v>
      </c>
      <c r="D8" s="106">
        <v>5084.5488699999996</v>
      </c>
      <c r="E8" s="106">
        <v>5691.6279370000002</v>
      </c>
      <c r="F8" s="106">
        <v>5747.0586569999996</v>
      </c>
      <c r="G8" s="106">
        <v>3927.0926420000001</v>
      </c>
      <c r="H8" s="81" t="s">
        <v>151</v>
      </c>
      <c r="I8" s="93" t="str">
        <f t="shared" si="1"/>
        <v>N/A</v>
      </c>
      <c r="J8" s="94">
        <f t="shared" si="2"/>
        <v>5112.5820264999993</v>
      </c>
      <c r="K8" s="93" t="str">
        <f t="shared" si="3"/>
        <v>N/A</v>
      </c>
      <c r="L8" s="95" t="s">
        <v>347</v>
      </c>
      <c r="M8" s="96" t="s">
        <v>344</v>
      </c>
    </row>
    <row r="9" spans="1:13" x14ac:dyDescent="0.25">
      <c r="A9" s="75" t="s">
        <v>245</v>
      </c>
      <c r="B9" s="76"/>
      <c r="C9" s="83" t="s">
        <v>304</v>
      </c>
      <c r="D9" s="106">
        <v>1296.4871710799989</v>
      </c>
      <c r="E9" s="106">
        <v>894.13333729479905</v>
      </c>
      <c r="F9" s="106">
        <v>697.58842742533307</v>
      </c>
      <c r="G9" s="106">
        <v>827.92774342533403</v>
      </c>
      <c r="H9" s="81" t="s">
        <v>151</v>
      </c>
      <c r="I9" s="93" t="str">
        <f t="shared" si="1"/>
        <v>N/A</v>
      </c>
      <c r="J9" s="94">
        <f t="shared" si="2"/>
        <v>929.03416980636632</v>
      </c>
      <c r="K9" s="93" t="str">
        <f t="shared" si="3"/>
        <v>N/A</v>
      </c>
      <c r="L9" s="95" t="s">
        <v>347</v>
      </c>
      <c r="M9" s="96" t="s">
        <v>344</v>
      </c>
    </row>
    <row r="10" spans="1:13" x14ac:dyDescent="0.25">
      <c r="A10" s="75" t="s">
        <v>305</v>
      </c>
      <c r="B10" s="76"/>
      <c r="C10" s="77" t="s">
        <v>306</v>
      </c>
      <c r="D10" s="92">
        <f t="shared" ref="D10:G11" si="4">1000*D4/D8</f>
        <v>68.464313126952206</v>
      </c>
      <c r="E10" s="92">
        <f t="shared" si="4"/>
        <v>73.944544773211518</v>
      </c>
      <c r="F10" s="92">
        <f t="shared" si="4"/>
        <v>62.782423726063257</v>
      </c>
      <c r="G10" s="92">
        <f t="shared" si="4"/>
        <v>72.526096619449973</v>
      </c>
      <c r="H10" s="81" t="s">
        <v>151</v>
      </c>
      <c r="I10" s="93" t="str">
        <f t="shared" si="1"/>
        <v>N/A</v>
      </c>
      <c r="J10" s="94">
        <f t="shared" si="2"/>
        <v>69.429344561419242</v>
      </c>
      <c r="K10" s="93" t="str">
        <f t="shared" si="3"/>
        <v>N/A</v>
      </c>
      <c r="L10" s="95" t="s">
        <v>347</v>
      </c>
      <c r="M10" s="96" t="s">
        <v>344</v>
      </c>
    </row>
    <row r="11" spans="1:13" x14ac:dyDescent="0.25">
      <c r="A11" s="75" t="s">
        <v>307</v>
      </c>
      <c r="B11" s="76"/>
      <c r="C11" s="77" t="s">
        <v>306</v>
      </c>
      <c r="D11" s="92">
        <f t="shared" si="4"/>
        <v>128.03772992081019</v>
      </c>
      <c r="E11" s="92">
        <f t="shared" si="4"/>
        <v>135.88741944201854</v>
      </c>
      <c r="F11" s="92">
        <f t="shared" si="4"/>
        <v>135.58223353455503</v>
      </c>
      <c r="G11" s="92">
        <f t="shared" si="4"/>
        <v>133.79018535833555</v>
      </c>
      <c r="H11" s="81" t="s">
        <v>151</v>
      </c>
      <c r="I11" s="93" t="str">
        <f t="shared" si="1"/>
        <v>N/A</v>
      </c>
      <c r="J11" s="94">
        <f t="shared" si="2"/>
        <v>133.32439206392982</v>
      </c>
      <c r="K11" s="93" t="str">
        <f t="shared" si="3"/>
        <v>N/A</v>
      </c>
      <c r="L11" s="95" t="s">
        <v>347</v>
      </c>
      <c r="M11" s="96" t="s">
        <v>344</v>
      </c>
    </row>
    <row r="12" spans="1:13" x14ac:dyDescent="0.25">
      <c r="A12" s="164" t="s">
        <v>62</v>
      </c>
      <c r="B12" s="86" t="s">
        <v>63</v>
      </c>
      <c r="C12" s="77" t="s">
        <v>45</v>
      </c>
      <c r="D12" s="78">
        <v>166.03516500000001</v>
      </c>
      <c r="E12" s="78">
        <v>181.38229200000001</v>
      </c>
      <c r="F12" s="78">
        <v>114.69051399999999</v>
      </c>
      <c r="G12" s="78">
        <v>57.668880999999999</v>
      </c>
      <c r="H12" s="78">
        <v>34.660277000000001</v>
      </c>
      <c r="I12" s="93">
        <f t="shared" si="1"/>
        <v>-0.39897781266121668</v>
      </c>
      <c r="J12" s="94">
        <f t="shared" si="2"/>
        <v>110.88742579999999</v>
      </c>
      <c r="K12" s="93">
        <f t="shared" si="3"/>
        <v>-0.68742824761290466</v>
      </c>
      <c r="L12" s="95" t="s">
        <v>346</v>
      </c>
      <c r="M12" s="97" t="s">
        <v>345</v>
      </c>
    </row>
    <row r="13" spans="1:13" x14ac:dyDescent="0.25">
      <c r="A13" s="164"/>
      <c r="B13" s="88" t="s">
        <v>335</v>
      </c>
      <c r="C13" s="77" t="s">
        <v>45</v>
      </c>
      <c r="D13" s="78">
        <v>2.9413000000000002E-2</v>
      </c>
      <c r="E13" s="78">
        <v>0.92681999999999998</v>
      </c>
      <c r="F13" s="78">
        <v>9.3004309999999997</v>
      </c>
      <c r="G13" s="78">
        <v>15.759029</v>
      </c>
      <c r="H13" s="78">
        <v>14.047753999999999</v>
      </c>
      <c r="I13" s="93">
        <f t="shared" si="1"/>
        <v>-0.10859012950607561</v>
      </c>
      <c r="J13" s="94">
        <f t="shared" si="2"/>
        <v>8.0126893999999993</v>
      </c>
      <c r="K13" s="93">
        <f t="shared" si="3"/>
        <v>0.75318838641118435</v>
      </c>
      <c r="L13" s="95" t="s">
        <v>346</v>
      </c>
      <c r="M13" s="97" t="s">
        <v>345</v>
      </c>
    </row>
    <row r="14" spans="1:13" x14ac:dyDescent="0.25">
      <c r="A14" s="164"/>
      <c r="B14" s="88" t="s">
        <v>417</v>
      </c>
      <c r="C14" s="77" t="s">
        <v>45</v>
      </c>
      <c r="D14" s="78">
        <v>4.9500849999999996</v>
      </c>
      <c r="E14" s="78">
        <v>5.4842500000000003</v>
      </c>
      <c r="F14" s="78">
        <v>14.915404000000001</v>
      </c>
      <c r="G14" s="78">
        <v>25.476046</v>
      </c>
      <c r="H14" s="78">
        <v>6.1070130000000002</v>
      </c>
      <c r="I14" s="93">
        <f t="shared" si="1"/>
        <v>-0.76028411159251319</v>
      </c>
      <c r="J14" s="94">
        <f t="shared" si="2"/>
        <v>11.3865596</v>
      </c>
      <c r="K14" s="93">
        <f t="shared" si="3"/>
        <v>-0.46366477544279483</v>
      </c>
      <c r="L14" s="95" t="s">
        <v>346</v>
      </c>
      <c r="M14" s="97" t="s">
        <v>345</v>
      </c>
    </row>
    <row r="15" spans="1:13" x14ac:dyDescent="0.25">
      <c r="A15" s="164"/>
      <c r="B15" s="88" t="s">
        <v>410</v>
      </c>
      <c r="C15" s="77" t="s">
        <v>45</v>
      </c>
      <c r="D15" s="78">
        <v>8.3387419999999999</v>
      </c>
      <c r="E15" s="78">
        <v>9.3894090000000006</v>
      </c>
      <c r="F15" s="78">
        <v>5.633222</v>
      </c>
      <c r="G15" s="78">
        <v>4.782349</v>
      </c>
      <c r="H15" s="78">
        <v>4.5172759999999998</v>
      </c>
      <c r="I15" s="93">
        <f t="shared" si="1"/>
        <v>-5.5427364251333433E-2</v>
      </c>
      <c r="J15" s="94">
        <f t="shared" si="2"/>
        <v>6.5321996000000002</v>
      </c>
      <c r="K15" s="93">
        <f t="shared" si="3"/>
        <v>-0.3084602007568783</v>
      </c>
      <c r="L15" s="95" t="s">
        <v>346</v>
      </c>
      <c r="M15" s="97" t="s">
        <v>345</v>
      </c>
    </row>
    <row r="16" spans="1:13" x14ac:dyDescent="0.25">
      <c r="A16" s="75" t="s">
        <v>64</v>
      </c>
      <c r="B16" s="86" t="s">
        <v>63</v>
      </c>
      <c r="C16" s="77" t="s">
        <v>45</v>
      </c>
      <c r="D16" s="78">
        <v>135.98905991000001</v>
      </c>
      <c r="E16" s="78">
        <v>99.599217780000004</v>
      </c>
      <c r="F16" s="78">
        <v>114.95793574999999</v>
      </c>
      <c r="G16" s="78">
        <v>233.99472201</v>
      </c>
      <c r="H16" s="78">
        <v>177.08880598000002</v>
      </c>
      <c r="I16" s="93">
        <f t="shared" si="1"/>
        <v>-0.24319316068833408</v>
      </c>
      <c r="J16" s="94">
        <f t="shared" si="2"/>
        <v>152.325948286</v>
      </c>
      <c r="K16" s="93">
        <f t="shared" si="3"/>
        <v>0.16256493376628423</v>
      </c>
      <c r="L16" s="95" t="s">
        <v>346</v>
      </c>
      <c r="M16" s="97" t="s">
        <v>345</v>
      </c>
    </row>
    <row r="17" spans="1:13" x14ac:dyDescent="0.25">
      <c r="A17" s="89" t="s">
        <v>301</v>
      </c>
      <c r="B17" s="90" t="s">
        <v>63</v>
      </c>
      <c r="C17" s="91" t="s">
        <v>45</v>
      </c>
      <c r="D17" s="78">
        <f>+D12-D16</f>
        <v>30.046105089999998</v>
      </c>
      <c r="E17" s="78">
        <f t="shared" ref="E17:H17" si="5">+E12-E16</f>
        <v>81.783074220000003</v>
      </c>
      <c r="F17" s="78">
        <f t="shared" si="5"/>
        <v>-0.2674217499999969</v>
      </c>
      <c r="G17" s="78">
        <f t="shared" si="5"/>
        <v>-176.32584101</v>
      </c>
      <c r="H17" s="78">
        <f t="shared" si="5"/>
        <v>-142.42852898000001</v>
      </c>
      <c r="I17" s="93">
        <f t="shared" si="1"/>
        <v>-0.19224245201857604</v>
      </c>
      <c r="J17" s="94">
        <f t="shared" si="2"/>
        <v>-41.438522485999997</v>
      </c>
      <c r="K17" s="93">
        <f t="shared" si="3"/>
        <v>2.4371044244668587</v>
      </c>
      <c r="L17" s="95" t="s">
        <v>346</v>
      </c>
      <c r="M17" s="97" t="s">
        <v>345</v>
      </c>
    </row>
    <row r="18" spans="1:13" x14ac:dyDescent="0.25">
      <c r="A18" s="13" t="s">
        <v>294</v>
      </c>
    </row>
    <row r="19" spans="1:13" x14ac:dyDescent="0.25">
      <c r="A19" s="13" t="s">
        <v>348</v>
      </c>
    </row>
    <row r="20" spans="1:13" x14ac:dyDescent="0.25">
      <c r="A20" s="13" t="s">
        <v>308</v>
      </c>
    </row>
    <row r="21" spans="1:13" x14ac:dyDescent="0.25">
      <c r="A21" s="13" t="s">
        <v>296</v>
      </c>
    </row>
    <row r="22" spans="1:13" x14ac:dyDescent="0.25">
      <c r="A22" s="13" t="s">
        <v>271</v>
      </c>
    </row>
  </sheetData>
  <mergeCells count="1">
    <mergeCell ref="A12:A1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6D150-6F1B-45FE-9B37-6676A2B5C291}">
  <sheetPr codeName="Sheet21"/>
  <dimension ref="A1:M20"/>
  <sheetViews>
    <sheetView workbookViewId="0">
      <selection activeCell="A20" sqref="A20"/>
    </sheetView>
  </sheetViews>
  <sheetFormatPr defaultRowHeight="15" x14ac:dyDescent="0.25"/>
  <cols>
    <col min="1" max="1" width="35.5703125" bestFit="1" customWidth="1"/>
    <col min="2" max="2" width="10.42578125" bestFit="1" customWidth="1"/>
    <col min="3" max="3" width="11.140625" bestFit="1" customWidth="1"/>
    <col min="9" max="11" width="10.7109375" customWidth="1"/>
  </cols>
  <sheetData>
    <row r="1" spans="1:13" x14ac:dyDescent="0.25">
      <c r="A1" s="124" t="s">
        <v>23</v>
      </c>
      <c r="B1" s="124"/>
      <c r="C1" s="124"/>
      <c r="D1" s="124"/>
      <c r="E1" s="124"/>
      <c r="F1" s="124"/>
      <c r="G1" s="124"/>
      <c r="H1" s="124"/>
      <c r="I1" s="124"/>
      <c r="J1" s="124"/>
      <c r="K1" s="124"/>
      <c r="L1" s="124"/>
      <c r="M1" s="124"/>
    </row>
    <row r="2" spans="1:13" x14ac:dyDescent="0.25">
      <c r="A2" s="125" t="s">
        <v>52</v>
      </c>
      <c r="B2" s="119" t="s">
        <v>53</v>
      </c>
      <c r="C2" s="126" t="s">
        <v>44</v>
      </c>
      <c r="D2" s="119" t="str">
        <f>+'Gross Value of Production'!C1</f>
        <v>2018-19</v>
      </c>
      <c r="E2" s="119" t="str">
        <f>+'Gross Value of Production'!D1</f>
        <v>2019-20</v>
      </c>
      <c r="F2" s="119" t="str">
        <f>+'Gross Value of Production'!E1</f>
        <v>2020-21</v>
      </c>
      <c r="G2" s="119" t="str">
        <f>+'Gross Value of Production'!F1</f>
        <v>2021-22s</v>
      </c>
      <c r="H2" s="119" t="str">
        <f>+'Gross Value of Production'!G1</f>
        <v>2022-23e</v>
      </c>
      <c r="I2" s="121" t="s">
        <v>47</v>
      </c>
      <c r="J2" s="121" t="s">
        <v>65</v>
      </c>
      <c r="K2" s="121" t="s">
        <v>49</v>
      </c>
      <c r="L2" s="122" t="s">
        <v>50</v>
      </c>
      <c r="M2" s="123" t="s">
        <v>51</v>
      </c>
    </row>
    <row r="3" spans="1:13" x14ac:dyDescent="0.25">
      <c r="A3" s="75" t="s">
        <v>297</v>
      </c>
      <c r="B3" s="76"/>
      <c r="C3" s="77" t="s">
        <v>45</v>
      </c>
      <c r="D3" s="78">
        <f>+SUM(D4:D5)</f>
        <v>187.29944753091996</v>
      </c>
      <c r="E3" s="78">
        <f t="shared" ref="E3:H3" si="0">+SUM(E4:E5)</f>
        <v>198.65631792588005</v>
      </c>
      <c r="F3" s="78">
        <f t="shared" si="0"/>
        <v>198.22966216445002</v>
      </c>
      <c r="G3" s="78">
        <f t="shared" si="0"/>
        <v>199.93191801103001</v>
      </c>
      <c r="H3" s="78">
        <f t="shared" si="0"/>
        <v>213.39590263657485</v>
      </c>
      <c r="I3" s="79">
        <f t="shared" ref="I3:I15" si="1">IF(ISBLANK(H3),"N/A",IF(ISNA(H3/G3-1),"N/A",IF(ISERROR(H3/G3-1),"N/A",H3/G3-1)))</f>
        <v>6.7342847302660491E-2</v>
      </c>
      <c r="J3" s="80">
        <f t="shared" ref="J3:J15" si="2">IF(ISBLANK(H3),"",IF(ISNA(AVERAGE(D3:H3)),"N/A",IF(ISERROR(AVERAGE(D3:H3)),"N/A",AVERAGE(D3:H3))))</f>
        <v>199.50264965377099</v>
      </c>
      <c r="K3" s="79">
        <f t="shared" ref="K3:K15" si="3">IF(ISBLANK(H3),"",IF(ISNA(H3/AVERAGE(D3:H3)-1),"N/A",IF(ISERROR(H3/AVERAGE(D3:H3)-1),"N/A",H3/AVERAGE(D3:H3)-1)))</f>
        <v>6.963944091426888E-2</v>
      </c>
      <c r="L3" s="81" t="s">
        <v>254</v>
      </c>
      <c r="M3" s="81"/>
    </row>
    <row r="4" spans="1:13" x14ac:dyDescent="0.25">
      <c r="A4" s="75" t="s">
        <v>298</v>
      </c>
      <c r="B4" s="76"/>
      <c r="C4" s="77" t="s">
        <v>45</v>
      </c>
      <c r="D4" s="78">
        <v>80.400627</v>
      </c>
      <c r="E4" s="78">
        <v>89.486498999999995</v>
      </c>
      <c r="F4" s="78">
        <v>98.432681000000002</v>
      </c>
      <c r="G4" s="78">
        <v>105.222483</v>
      </c>
      <c r="H4" s="78">
        <v>113.46141181654428</v>
      </c>
      <c r="I4" s="79">
        <f t="shared" si="1"/>
        <v>7.8300079808459655E-2</v>
      </c>
      <c r="J4" s="80">
        <f t="shared" si="2"/>
        <v>97.400740363308856</v>
      </c>
      <c r="K4" s="79">
        <f t="shared" si="3"/>
        <v>0.16489270403210954</v>
      </c>
      <c r="L4" s="81" t="s">
        <v>373</v>
      </c>
      <c r="M4" s="82" t="s">
        <v>372</v>
      </c>
    </row>
    <row r="5" spans="1:13" x14ac:dyDescent="0.25">
      <c r="A5" s="75" t="s">
        <v>299</v>
      </c>
      <c r="B5" s="76"/>
      <c r="C5" s="77" t="s">
        <v>45</v>
      </c>
      <c r="D5" s="78">
        <v>106.89882053091998</v>
      </c>
      <c r="E5" s="78">
        <v>109.16981892588007</v>
      </c>
      <c r="F5" s="78">
        <v>99.796981164450003</v>
      </c>
      <c r="G5" s="78">
        <v>94.70943501103001</v>
      </c>
      <c r="H5" s="78">
        <v>99.934490820030561</v>
      </c>
      <c r="I5" s="79">
        <f t="shared" si="1"/>
        <v>5.5169327199471097E-2</v>
      </c>
      <c r="J5" s="80">
        <f t="shared" si="2"/>
        <v>102.10190929046212</v>
      </c>
      <c r="K5" s="79">
        <f t="shared" si="3"/>
        <v>-2.1227991577176364E-2</v>
      </c>
      <c r="L5" s="81" t="s">
        <v>327</v>
      </c>
      <c r="M5" s="81" t="s">
        <v>371</v>
      </c>
    </row>
    <row r="6" spans="1:13" x14ac:dyDescent="0.25">
      <c r="A6" s="75" t="s">
        <v>99</v>
      </c>
      <c r="B6" s="76"/>
      <c r="C6" s="83" t="s">
        <v>100</v>
      </c>
      <c r="D6" s="84">
        <v>5.5178659999999997</v>
      </c>
      <c r="E6" s="84">
        <v>5.9891009999999998</v>
      </c>
      <c r="F6" s="84">
        <v>6.2247890000000003</v>
      </c>
      <c r="G6" s="84">
        <v>5.486802</v>
      </c>
      <c r="H6" s="81" t="s">
        <v>151</v>
      </c>
      <c r="I6" s="79" t="str">
        <f t="shared" si="1"/>
        <v>N/A</v>
      </c>
      <c r="J6" s="80">
        <f t="shared" si="2"/>
        <v>5.8046395000000004</v>
      </c>
      <c r="K6" s="79" t="str">
        <f t="shared" si="3"/>
        <v>N/A</v>
      </c>
      <c r="L6" s="81" t="s">
        <v>373</v>
      </c>
      <c r="M6" s="82" t="s">
        <v>372</v>
      </c>
    </row>
    <row r="7" spans="1:13" x14ac:dyDescent="0.25">
      <c r="A7" s="75" t="s">
        <v>251</v>
      </c>
      <c r="B7" s="76"/>
      <c r="C7" s="83" t="s">
        <v>59</v>
      </c>
      <c r="D7" s="84">
        <v>4.694</v>
      </c>
      <c r="E7" s="84">
        <v>4.827</v>
      </c>
      <c r="F7" s="84">
        <v>5.1059999999999999</v>
      </c>
      <c r="G7" s="81" t="s">
        <v>151</v>
      </c>
      <c r="H7" s="81" t="s">
        <v>151</v>
      </c>
      <c r="I7" s="79" t="str">
        <f t="shared" si="1"/>
        <v>N/A</v>
      </c>
      <c r="J7" s="80">
        <f t="shared" si="2"/>
        <v>4.8756666666666666</v>
      </c>
      <c r="K7" s="79" t="str">
        <f t="shared" si="3"/>
        <v>N/A</v>
      </c>
      <c r="L7" s="81" t="s">
        <v>327</v>
      </c>
      <c r="M7" s="81" t="s">
        <v>371</v>
      </c>
    </row>
    <row r="8" spans="1:13" x14ac:dyDescent="0.25">
      <c r="A8" s="75" t="s">
        <v>101</v>
      </c>
      <c r="B8" s="76"/>
      <c r="C8" s="83" t="s">
        <v>59</v>
      </c>
      <c r="D8" s="84">
        <v>12.451287000000001</v>
      </c>
      <c r="E8" s="84">
        <v>12.886495</v>
      </c>
      <c r="F8" s="84">
        <v>11.099478999999999</v>
      </c>
      <c r="G8" s="81" t="s">
        <v>151</v>
      </c>
      <c r="H8" s="81" t="s">
        <v>151</v>
      </c>
      <c r="I8" s="79" t="str">
        <f t="shared" si="1"/>
        <v>N/A</v>
      </c>
      <c r="J8" s="80">
        <f t="shared" si="2"/>
        <v>12.145753666666666</v>
      </c>
      <c r="K8" s="79" t="str">
        <f t="shared" si="3"/>
        <v>N/A</v>
      </c>
      <c r="L8" s="81" t="s">
        <v>327</v>
      </c>
      <c r="M8" s="81" t="s">
        <v>371</v>
      </c>
    </row>
    <row r="9" spans="1:13" x14ac:dyDescent="0.25">
      <c r="A9" s="75" t="s">
        <v>300</v>
      </c>
      <c r="B9" s="76"/>
      <c r="C9" s="77" t="s">
        <v>98</v>
      </c>
      <c r="D9" s="85">
        <v>116</v>
      </c>
      <c r="E9" s="85">
        <v>119.1</v>
      </c>
      <c r="F9" s="85">
        <v>120.77499999999999</v>
      </c>
      <c r="G9" s="85">
        <v>121.97499999999999</v>
      </c>
      <c r="H9" s="85">
        <v>131.80000000000001</v>
      </c>
      <c r="I9" s="79">
        <f t="shared" si="1"/>
        <v>8.0549292887887036E-2</v>
      </c>
      <c r="J9" s="80">
        <f t="shared" si="2"/>
        <v>121.93000000000002</v>
      </c>
      <c r="K9" s="79">
        <f t="shared" si="3"/>
        <v>8.0948084966784073E-2</v>
      </c>
      <c r="L9" s="81" t="s">
        <v>374</v>
      </c>
      <c r="M9" s="82" t="s">
        <v>375</v>
      </c>
    </row>
    <row r="10" spans="1:13" x14ac:dyDescent="0.25">
      <c r="A10" s="164" t="s">
        <v>62</v>
      </c>
      <c r="B10" s="86" t="s">
        <v>63</v>
      </c>
      <c r="C10" s="77" t="s">
        <v>45</v>
      </c>
      <c r="D10" s="78">
        <v>24.127068999999999</v>
      </c>
      <c r="E10" s="78">
        <v>21.803750999999998</v>
      </c>
      <c r="F10" s="78">
        <v>28.931595999999999</v>
      </c>
      <c r="G10" s="78">
        <v>36.218226000000001</v>
      </c>
      <c r="H10" s="78">
        <v>62.468314999999997</v>
      </c>
      <c r="I10" s="79">
        <f t="shared" si="1"/>
        <v>0.7247756695758647</v>
      </c>
      <c r="J10" s="80">
        <f t="shared" si="2"/>
        <v>34.7097914</v>
      </c>
      <c r="K10" s="79">
        <f t="shared" si="3"/>
        <v>0.79973178980268944</v>
      </c>
      <c r="L10" s="95" t="s">
        <v>346</v>
      </c>
      <c r="M10" s="97" t="s">
        <v>345</v>
      </c>
    </row>
    <row r="11" spans="1:13" x14ac:dyDescent="0.25">
      <c r="A11" s="164"/>
      <c r="B11" s="88" t="s">
        <v>330</v>
      </c>
      <c r="C11" s="77" t="s">
        <v>45</v>
      </c>
      <c r="D11" s="78">
        <v>5.1721979999999999</v>
      </c>
      <c r="E11" s="78">
        <v>5.6472160000000002</v>
      </c>
      <c r="F11" s="78">
        <v>5.5677510000000003</v>
      </c>
      <c r="G11" s="78">
        <v>13.517689000000001</v>
      </c>
      <c r="H11" s="78">
        <v>29.343643</v>
      </c>
      <c r="I11" s="79">
        <f t="shared" si="1"/>
        <v>1.1707588479066207</v>
      </c>
      <c r="J11" s="80">
        <f t="shared" si="2"/>
        <v>11.8496994</v>
      </c>
      <c r="K11" s="79">
        <f t="shared" si="3"/>
        <v>1.4763196102679195</v>
      </c>
      <c r="L11" s="95" t="s">
        <v>346</v>
      </c>
      <c r="M11" s="97" t="s">
        <v>345</v>
      </c>
    </row>
    <row r="12" spans="1:13" x14ac:dyDescent="0.25">
      <c r="A12" s="164"/>
      <c r="B12" s="88" t="s">
        <v>338</v>
      </c>
      <c r="C12" s="77" t="s">
        <v>45</v>
      </c>
      <c r="D12" s="78">
        <v>2.2187269999999999</v>
      </c>
      <c r="E12" s="78">
        <v>3.1938059999999999</v>
      </c>
      <c r="F12" s="78">
        <v>5.8365840000000002</v>
      </c>
      <c r="G12" s="78">
        <v>6.7467119999999996</v>
      </c>
      <c r="H12" s="78">
        <v>9.6257520000000003</v>
      </c>
      <c r="I12" s="79">
        <f t="shared" si="1"/>
        <v>0.42673231049435656</v>
      </c>
      <c r="J12" s="80">
        <f t="shared" si="2"/>
        <v>5.5243161999999995</v>
      </c>
      <c r="K12" s="79">
        <f t="shared" si="3"/>
        <v>0.74243320829463033</v>
      </c>
      <c r="L12" s="95" t="s">
        <v>346</v>
      </c>
      <c r="M12" s="97" t="s">
        <v>345</v>
      </c>
    </row>
    <row r="13" spans="1:13" x14ac:dyDescent="0.25">
      <c r="A13" s="164"/>
      <c r="B13" s="88" t="s">
        <v>331</v>
      </c>
      <c r="C13" s="77" t="s">
        <v>45</v>
      </c>
      <c r="D13" s="78">
        <v>11.376431999999999</v>
      </c>
      <c r="E13" s="78">
        <v>9.4810359999999996</v>
      </c>
      <c r="F13" s="78">
        <v>9.9273500000000006</v>
      </c>
      <c r="G13" s="78">
        <v>4.4715400000000001</v>
      </c>
      <c r="H13" s="78">
        <v>7.4532400000000001</v>
      </c>
      <c r="I13" s="79">
        <f t="shared" si="1"/>
        <v>0.66681724864364411</v>
      </c>
      <c r="J13" s="80">
        <f t="shared" si="2"/>
        <v>8.5419195999999999</v>
      </c>
      <c r="K13" s="79">
        <f t="shared" si="3"/>
        <v>-0.12745139862941346</v>
      </c>
      <c r="L13" s="95" t="s">
        <v>346</v>
      </c>
      <c r="M13" s="97" t="s">
        <v>345</v>
      </c>
    </row>
    <row r="14" spans="1:13" x14ac:dyDescent="0.25">
      <c r="A14" s="75" t="s">
        <v>64</v>
      </c>
      <c r="B14" s="86" t="s">
        <v>63</v>
      </c>
      <c r="C14" s="77" t="s">
        <v>45</v>
      </c>
      <c r="D14" s="78">
        <v>869.88150496000003</v>
      </c>
      <c r="E14" s="78">
        <v>826.96238421999999</v>
      </c>
      <c r="F14" s="78">
        <v>815.81567429000006</v>
      </c>
      <c r="G14" s="78">
        <v>856.70752047000008</v>
      </c>
      <c r="H14" s="78">
        <v>1007.79240506</v>
      </c>
      <c r="I14" s="79">
        <f t="shared" si="1"/>
        <v>0.17635526825667758</v>
      </c>
      <c r="J14" s="80">
        <f t="shared" si="2"/>
        <v>875.43189779999989</v>
      </c>
      <c r="K14" s="79">
        <f t="shared" si="3"/>
        <v>0.1511945219184132</v>
      </c>
      <c r="L14" s="95" t="s">
        <v>346</v>
      </c>
      <c r="M14" s="97" t="s">
        <v>345</v>
      </c>
    </row>
    <row r="15" spans="1:13" x14ac:dyDescent="0.25">
      <c r="A15" s="89" t="s">
        <v>301</v>
      </c>
      <c r="B15" s="90" t="s">
        <v>63</v>
      </c>
      <c r="C15" s="91" t="s">
        <v>45</v>
      </c>
      <c r="D15" s="78">
        <f t="shared" ref="D15:G15" si="4">+D10-D14</f>
        <v>-845.75443596000002</v>
      </c>
      <c r="E15" s="78">
        <f t="shared" si="4"/>
        <v>-805.15863321999996</v>
      </c>
      <c r="F15" s="78">
        <f t="shared" si="4"/>
        <v>-786.88407829000005</v>
      </c>
      <c r="G15" s="78">
        <f t="shared" si="4"/>
        <v>-820.48929447000012</v>
      </c>
      <c r="H15" s="78">
        <f>+H10-H14</f>
        <v>-945.32409006</v>
      </c>
      <c r="I15" s="79">
        <f t="shared" si="1"/>
        <v>0.15214676953297435</v>
      </c>
      <c r="J15" s="80">
        <f t="shared" si="2"/>
        <v>-840.72210640000014</v>
      </c>
      <c r="K15" s="79">
        <f t="shared" si="3"/>
        <v>0.12441921398725797</v>
      </c>
      <c r="L15" s="95" t="s">
        <v>346</v>
      </c>
      <c r="M15" s="97" t="s">
        <v>345</v>
      </c>
    </row>
    <row r="16" spans="1:13" x14ac:dyDescent="0.25">
      <c r="A16" s="13" t="s">
        <v>294</v>
      </c>
    </row>
    <row r="17" spans="1:1" x14ac:dyDescent="0.25">
      <c r="A17" s="13" t="s">
        <v>308</v>
      </c>
    </row>
    <row r="18" spans="1:1" x14ac:dyDescent="0.25">
      <c r="A18" s="13" t="s">
        <v>296</v>
      </c>
    </row>
    <row r="19" spans="1:1" x14ac:dyDescent="0.25">
      <c r="A19" s="13" t="s">
        <v>310</v>
      </c>
    </row>
    <row r="20" spans="1:1" x14ac:dyDescent="0.25">
      <c r="A20" s="13" t="s">
        <v>271</v>
      </c>
    </row>
  </sheetData>
  <mergeCells count="1">
    <mergeCell ref="A10:A1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B9A92-F2AC-4133-BCF3-74496D1D5E22}">
  <sheetPr codeName="Sheet22">
    <pageSetUpPr fitToPage="1"/>
  </sheetPr>
  <dimension ref="A1:L41"/>
  <sheetViews>
    <sheetView workbookViewId="0">
      <selection activeCell="A40" sqref="A40"/>
    </sheetView>
  </sheetViews>
  <sheetFormatPr defaultRowHeight="15" x14ac:dyDescent="0.25"/>
  <cols>
    <col min="1" max="1" width="43" customWidth="1"/>
    <col min="3" max="3" width="11.140625" bestFit="1" customWidth="1"/>
    <col min="4" max="6" width="11" bestFit="1" customWidth="1"/>
    <col min="7" max="7" width="12.42578125" bestFit="1" customWidth="1"/>
    <col min="9" max="9" width="10" bestFit="1" customWidth="1"/>
  </cols>
  <sheetData>
    <row r="1" spans="1:12" ht="48.75" x14ac:dyDescent="0.25">
      <c r="A1" s="5" t="s">
        <v>283</v>
      </c>
      <c r="B1" s="5" t="s">
        <v>44</v>
      </c>
      <c r="C1" s="5" t="s">
        <v>46</v>
      </c>
      <c r="D1" s="5" t="s">
        <v>86</v>
      </c>
      <c r="E1" s="5" t="s">
        <v>342</v>
      </c>
      <c r="F1" s="5" t="s">
        <v>428</v>
      </c>
      <c r="G1" s="5" t="s">
        <v>341</v>
      </c>
      <c r="H1" s="40" t="s">
        <v>47</v>
      </c>
      <c r="I1" s="19" t="s">
        <v>48</v>
      </c>
      <c r="J1" s="40" t="s">
        <v>49</v>
      </c>
      <c r="K1" s="9" t="s">
        <v>50</v>
      </c>
      <c r="L1" s="9" t="s">
        <v>51</v>
      </c>
    </row>
    <row r="2" spans="1:12" x14ac:dyDescent="0.25">
      <c r="A2" s="9" t="s">
        <v>31</v>
      </c>
      <c r="B2" s="70" t="s">
        <v>45</v>
      </c>
      <c r="C2" s="66">
        <f>+SUM(C3:C11)</f>
        <v>2835.2392351900003</v>
      </c>
      <c r="D2" s="66">
        <f t="shared" ref="D2:G2" si="0">+SUM(D3:D11)</f>
        <v>2059.0123067300001</v>
      </c>
      <c r="E2" s="66">
        <f t="shared" si="0"/>
        <v>8289.5880051799995</v>
      </c>
      <c r="F2" s="66">
        <f t="shared" si="0"/>
        <v>11445.679624323837</v>
      </c>
      <c r="G2" s="66">
        <f t="shared" si="0"/>
        <v>9184.1592476868664</v>
      </c>
      <c r="H2" s="67">
        <f t="shared" ref="H2:H31" si="1">IF(ISBLANK(G2),"N/A",IF(ISNA(G2/F2-1),"N/A",IF(ISERROR(G2/F2-1),"N/A",G2/F2-1)))</f>
        <v>-0.19758725133550747</v>
      </c>
      <c r="I2" s="68">
        <f t="shared" ref="I2:I31" si="2">IF(ISBLANK(G2),"",IF(ISNA(AVERAGE(C2:G2)),"N/A",IF(ISERROR(AVERAGE(C2:G2)),"N/A",AVERAGE(C2:G2))))</f>
        <v>6762.7356838221413</v>
      </c>
      <c r="J2" s="67">
        <f t="shared" ref="J2:J31" si="3">IF(ISBLANK(G2),"",IF(ISNA(G2/AVERAGE(C2:G2)-1),"N/A",IF(ISERROR(G2/AVERAGE(C2:G2)-1),"N/A",G2/AVERAGE(C2:G2)-1)))</f>
        <v>0.35805385232743459</v>
      </c>
      <c r="K2" s="13"/>
      <c r="L2" s="13"/>
    </row>
    <row r="3" spans="1:12" x14ac:dyDescent="0.25">
      <c r="A3" s="22" t="s">
        <v>7</v>
      </c>
      <c r="B3" s="71" t="s">
        <v>45</v>
      </c>
      <c r="C3" s="72">
        <f>+Wheat!D3</f>
        <v>751.61956699999996</v>
      </c>
      <c r="D3" s="72">
        <f>+Wheat!E3</f>
        <v>648.93154514999992</v>
      </c>
      <c r="E3" s="72">
        <f>+Wheat!F3</f>
        <v>3815.9025056</v>
      </c>
      <c r="F3" s="72">
        <f>+Wheat!G3</f>
        <v>3888.1594585195617</v>
      </c>
      <c r="G3" s="72">
        <f>+Wheat!H3</f>
        <v>3616.9605879922487</v>
      </c>
      <c r="H3" s="73">
        <f t="shared" si="1"/>
        <v>-6.9749935263862195E-2</v>
      </c>
      <c r="I3" s="74">
        <f t="shared" si="2"/>
        <v>2544.3147328523619</v>
      </c>
      <c r="J3" s="73">
        <f t="shared" si="3"/>
        <v>0.42158536492746435</v>
      </c>
      <c r="K3" s="69" t="str">
        <f>+Wheat!L3</f>
        <v>ABS (2023)</v>
      </c>
      <c r="L3" s="69" t="str">
        <f>+Wheat!M3</f>
        <v>Australian Bureau of Statistics (2023). 7503.0 Value of Agricultural Commodities Produced, Australia 2021-22. Last accessed October 2023. 
&lt;http://www.abs.gov.au/ausstats/abs@.nsf/mf/7503.0&gt;</v>
      </c>
    </row>
    <row r="4" spans="1:12" x14ac:dyDescent="0.25">
      <c r="A4" s="22" t="s">
        <v>8</v>
      </c>
      <c r="B4" s="71" t="s">
        <v>45</v>
      </c>
      <c r="C4" s="72">
        <f>+Barley!D3</f>
        <v>327.2515047</v>
      </c>
      <c r="D4" s="72">
        <f>+Barley!E3</f>
        <v>284.46834302999997</v>
      </c>
      <c r="E4" s="72">
        <f>+Barley!F3</f>
        <v>938.34993312000006</v>
      </c>
      <c r="F4" s="72">
        <f>+Barley!G3</f>
        <v>964.89864478847949</v>
      </c>
      <c r="G4" s="72">
        <f>+Barley!H3</f>
        <v>646.53722950475458</v>
      </c>
      <c r="H4" s="73">
        <f t="shared" si="1"/>
        <v>-0.32994285669611922</v>
      </c>
      <c r="I4" s="74">
        <f t="shared" si="2"/>
        <v>632.30113102864675</v>
      </c>
      <c r="J4" s="73">
        <f t="shared" si="3"/>
        <v>2.2514744601117576E-2</v>
      </c>
      <c r="K4" s="69" t="str">
        <f>+Barley!L3</f>
        <v>ABS (2023)</v>
      </c>
      <c r="L4" s="69" t="str">
        <f>+Barley!M3</f>
        <v>Australian Bureau of Statistics (2023). 7503.0 Value of Agricultural Commodities Produced, Australia 2021-22. Last accessed October 2023. 
&lt;http://www.abs.gov.au/ausstats/abs@.nsf/mf/7503.0&gt;</v>
      </c>
    </row>
    <row r="5" spans="1:12" x14ac:dyDescent="0.25">
      <c r="A5" s="22" t="s">
        <v>9</v>
      </c>
      <c r="B5" s="71" t="s">
        <v>45</v>
      </c>
      <c r="C5" s="72">
        <f>+Rice!D3</f>
        <v>31.41166252</v>
      </c>
      <c r="D5" s="72">
        <f>+Rice!E3</f>
        <v>35.48134992</v>
      </c>
      <c r="E5" s="72">
        <f>+Rice!F3</f>
        <v>171.85360383000003</v>
      </c>
      <c r="F5" s="72">
        <f>+Rice!G3</f>
        <v>272.6858424695842</v>
      </c>
      <c r="G5" s="72">
        <f>+Rice!H3</f>
        <v>218.87463736808988</v>
      </c>
      <c r="H5" s="73">
        <f t="shared" si="1"/>
        <v>-0.19733772979980257</v>
      </c>
      <c r="I5" s="74">
        <f t="shared" si="2"/>
        <v>146.06141922153483</v>
      </c>
      <c r="J5" s="73">
        <f t="shared" si="3"/>
        <v>0.49851095884613783</v>
      </c>
      <c r="K5" s="69" t="str">
        <f>+Rice!L3</f>
        <v>ABS (2023)</v>
      </c>
      <c r="L5" s="69" t="str">
        <f>+Rice!M3</f>
        <v>Australian Bureau of Statistics (2023). 7503.0 Value of Agricultural Commodities Produced, Australia 2021-22. Last accessed October 2023. 
&lt;http://www.abs.gov.au/ausstats/abs@.nsf/mf/7503.0&gt;</v>
      </c>
    </row>
    <row r="6" spans="1:12" x14ac:dyDescent="0.25">
      <c r="A6" s="22" t="s">
        <v>32</v>
      </c>
      <c r="B6" s="71" t="s">
        <v>45</v>
      </c>
      <c r="C6" s="72">
        <f>+'Coarse Grains'!D3</f>
        <v>187.52940182</v>
      </c>
      <c r="D6" s="72">
        <f>+'Coarse Grains'!E3</f>
        <v>152.51688572999998</v>
      </c>
      <c r="E6" s="72">
        <f>+'Coarse Grains'!F3</f>
        <v>404.62372719999996</v>
      </c>
      <c r="F6" s="72">
        <f>+'Coarse Grains'!G3</f>
        <v>544.18180195518244</v>
      </c>
      <c r="G6" s="72">
        <f>+'Coarse Grains'!H3</f>
        <v>531.06931538642345</v>
      </c>
      <c r="H6" s="73">
        <f t="shared" si="1"/>
        <v>-2.4095782919692166E-2</v>
      </c>
      <c r="I6" s="74">
        <f t="shared" si="2"/>
        <v>363.98422641832121</v>
      </c>
      <c r="J6" s="73">
        <f t="shared" si="3"/>
        <v>0.45904486194979799</v>
      </c>
      <c r="K6" s="69" t="str">
        <f>+'Coarse Grains'!L3</f>
        <v>ABS (2023)</v>
      </c>
      <c r="L6" s="69" t="str">
        <f>+'Coarse Grains'!M3</f>
        <v>Australian Bureau of Statistics (2023). 7503.0 Value of Agricultural Commodities Produced, Australia 2021-22. Last accessed October 2023. 
&lt;http://www.abs.gov.au/ausstats/abs@.nsf/mf/7503.0&gt;</v>
      </c>
    </row>
    <row r="7" spans="1:12" x14ac:dyDescent="0.25">
      <c r="A7" s="22" t="s">
        <v>10</v>
      </c>
      <c r="B7" s="71" t="s">
        <v>45</v>
      </c>
      <c r="C7" s="72">
        <f>+Pulses!D3</f>
        <v>71.787893370000006</v>
      </c>
      <c r="D7" s="72">
        <f>+Pulses!E3</f>
        <v>57.266532670000004</v>
      </c>
      <c r="E7" s="72">
        <f>+Pulses!F3</f>
        <v>492.84287260999997</v>
      </c>
      <c r="F7" s="72">
        <f>+Pulses!G3</f>
        <v>554.09654301552666</v>
      </c>
      <c r="G7" s="72">
        <f>+Pulses!H3</f>
        <v>268.42390537488347</v>
      </c>
      <c r="H7" s="73">
        <f t="shared" si="1"/>
        <v>-0.51556473549887893</v>
      </c>
      <c r="I7" s="74">
        <f t="shared" si="2"/>
        <v>288.88354940808205</v>
      </c>
      <c r="J7" s="73">
        <f t="shared" si="3"/>
        <v>-7.0823153741776168E-2</v>
      </c>
      <c r="K7" s="69" t="str">
        <f>+Pulses!L3</f>
        <v>ABS (2023)</v>
      </c>
      <c r="L7" s="69" t="str">
        <f>+Pulses!M3</f>
        <v>Australian Bureau of Statistics (2023). 7503.0 Value of Agricultural Commodities Produced, Australia 2021-22. Last accessed October 2023. 
&lt;http://www.abs.gov.au/ausstats/abs@.nsf/mf/7503.0&gt;</v>
      </c>
    </row>
    <row r="8" spans="1:12" x14ac:dyDescent="0.25">
      <c r="A8" s="22" t="s">
        <v>11</v>
      </c>
      <c r="B8" s="71" t="s">
        <v>45</v>
      </c>
      <c r="C8" s="72">
        <f>+Oilseeds!D3</f>
        <v>148.59703931000001</v>
      </c>
      <c r="D8" s="72">
        <f>+Oilseeds!E3</f>
        <v>122.26754841</v>
      </c>
      <c r="E8" s="72">
        <f>+Oilseeds!F3</f>
        <v>887.90232959000002</v>
      </c>
      <c r="F8" s="72">
        <f>+Oilseeds!G3</f>
        <v>1773.1878917674599</v>
      </c>
      <c r="G8" s="72">
        <f>+Oilseeds!H3</f>
        <v>1256.9092226884563</v>
      </c>
      <c r="H8" s="73">
        <f t="shared" si="1"/>
        <v>-0.29115846745625618</v>
      </c>
      <c r="I8" s="74">
        <f t="shared" si="2"/>
        <v>837.77280635318311</v>
      </c>
      <c r="J8" s="73">
        <f t="shared" si="3"/>
        <v>0.50029842596559071</v>
      </c>
      <c r="K8" s="69" t="str">
        <f>+Oilseeds!L3</f>
        <v>ABS (2023)</v>
      </c>
      <c r="L8" s="69" t="str">
        <f>+Oilseeds!M3</f>
        <v>Australian Bureau of Statistics (2023). 7503.0 Value of Agricultural Commodities Produced, Australia 2021-22. Last accessed October 2023. 
&lt;http://www.abs.gov.au/ausstats/abs@.nsf/mf/7503.0&gt;</v>
      </c>
    </row>
    <row r="9" spans="1:12" x14ac:dyDescent="0.25">
      <c r="A9" s="22" t="s">
        <v>12</v>
      </c>
      <c r="B9" s="71" t="s">
        <v>45</v>
      </c>
      <c r="C9" s="72">
        <f>+'Cotton Lint'!D3</f>
        <v>849.24755063999999</v>
      </c>
      <c r="D9" s="72">
        <f>+'Cotton Lint'!E3</f>
        <v>175.3822188</v>
      </c>
      <c r="E9" s="72">
        <f>+'Cotton Lint'!F3</f>
        <v>915.92335097</v>
      </c>
      <c r="F9" s="72">
        <f>+'Cotton Lint'!G3</f>
        <v>2982.5056955388341</v>
      </c>
      <c r="G9" s="72">
        <f>+'Cotton Lint'!H3</f>
        <v>2254.7193091163876</v>
      </c>
      <c r="H9" s="73">
        <f t="shared" si="1"/>
        <v>-0.24401843976729132</v>
      </c>
      <c r="I9" s="74">
        <f t="shared" si="2"/>
        <v>1435.5556250130444</v>
      </c>
      <c r="J9" s="73">
        <f t="shared" si="3"/>
        <v>0.57062482973858986</v>
      </c>
      <c r="K9" s="69" t="str">
        <f>+'Cotton Lint'!L3</f>
        <v>ABS (2023)</v>
      </c>
      <c r="L9" s="69" t="str">
        <f>+'Cotton Lint'!M3</f>
        <v>Australian Bureau of Statistics (2023). 7503.0 Value of Agricultural Commodities Produced, Australia 2021-22. Last accessed October 2023. 
&lt;http://www.abs.gov.au/ausstats/abs@.nsf/mf/7503.0&gt;</v>
      </c>
    </row>
    <row r="10" spans="1:12" x14ac:dyDescent="0.25">
      <c r="A10" s="22" t="s">
        <v>13</v>
      </c>
      <c r="B10" s="71" t="s">
        <v>45</v>
      </c>
      <c r="C10" s="72">
        <f>+Sugarcane!D3</f>
        <v>72.715206010000003</v>
      </c>
      <c r="D10" s="72">
        <f>+Sugarcane!E3</f>
        <v>65.325936999999996</v>
      </c>
      <c r="E10" s="72">
        <f>+Sugarcane!F3</f>
        <v>73.535230040000002</v>
      </c>
      <c r="F10" s="72">
        <f>+Sugarcane!G3</f>
        <v>70.512253048307514</v>
      </c>
      <c r="G10" s="72">
        <f>+Sugarcane!H3</f>
        <v>70.289069206997155</v>
      </c>
      <c r="H10" s="73">
        <f t="shared" si="1"/>
        <v>-3.1651781309194327E-3</v>
      </c>
      <c r="I10" s="74">
        <f t="shared" si="2"/>
        <v>70.475539061060928</v>
      </c>
      <c r="J10" s="73">
        <f t="shared" si="3"/>
        <v>-2.6458804934037516E-3</v>
      </c>
      <c r="K10" s="69" t="str">
        <f>+Sugarcane!L3</f>
        <v>ABS (2023)</v>
      </c>
      <c r="L10" s="69" t="str">
        <f>+Sugarcane!M3</f>
        <v>Australian Bureau of Statistics (2023). 7503.0 Value of Agricultural Commodities Produced, Australia 2021-22. Last accessed October 2023. 
&lt;http://www.abs.gov.au/ausstats/abs@.nsf/mf/7503.0&gt;</v>
      </c>
    </row>
    <row r="11" spans="1:12" x14ac:dyDescent="0.25">
      <c r="A11" s="22" t="s">
        <v>284</v>
      </c>
      <c r="B11" s="71" t="s">
        <v>45</v>
      </c>
      <c r="C11" s="72">
        <v>395.07940981999997</v>
      </c>
      <c r="D11" s="72">
        <v>517.37194602</v>
      </c>
      <c r="E11" s="72">
        <v>588.65445222000005</v>
      </c>
      <c r="F11" s="72">
        <v>395.45149322089958</v>
      </c>
      <c r="G11" s="72">
        <v>320.37597104862414</v>
      </c>
      <c r="H11" s="73">
        <f t="shared" si="1"/>
        <v>-0.18984761332115685</v>
      </c>
      <c r="I11" s="74">
        <f t="shared" si="2"/>
        <v>443.38665446590477</v>
      </c>
      <c r="J11" s="73">
        <f t="shared" si="3"/>
        <v>-0.27743433903182535</v>
      </c>
      <c r="K11" s="69"/>
      <c r="L11" s="69"/>
    </row>
    <row r="12" spans="1:12" x14ac:dyDescent="0.25">
      <c r="A12" s="9" t="s">
        <v>33</v>
      </c>
      <c r="B12" s="70" t="s">
        <v>45</v>
      </c>
      <c r="C12" s="66">
        <f>+SUM(C13:C16)</f>
        <v>2219.8738443900002</v>
      </c>
      <c r="D12" s="66">
        <f t="shared" ref="D12:G12" si="4">+SUM(D13:D16)</f>
        <v>2291.1583389899997</v>
      </c>
      <c r="E12" s="66">
        <f t="shared" si="4"/>
        <v>2796.9320458099996</v>
      </c>
      <c r="F12" s="66">
        <f t="shared" si="4"/>
        <v>3147.9678595715113</v>
      </c>
      <c r="G12" s="66">
        <f t="shared" si="4"/>
        <v>3153.847645379602</v>
      </c>
      <c r="H12" s="67">
        <f t="shared" si="1"/>
        <v>1.867803634085119E-3</v>
      </c>
      <c r="I12" s="68">
        <f t="shared" si="2"/>
        <v>2721.9559468282227</v>
      </c>
      <c r="J12" s="67">
        <f t="shared" si="3"/>
        <v>0.1586696136852046</v>
      </c>
      <c r="K12" s="13"/>
      <c r="L12" s="13"/>
    </row>
    <row r="13" spans="1:12" x14ac:dyDescent="0.25">
      <c r="A13" s="22" t="s">
        <v>34</v>
      </c>
      <c r="B13" s="71" t="s">
        <v>45</v>
      </c>
      <c r="C13" s="72">
        <f>+Horticulture!D4</f>
        <v>933.17468346999999</v>
      </c>
      <c r="D13" s="72">
        <f>+Horticulture!E4</f>
        <v>1067.19633077</v>
      </c>
      <c r="E13" s="72">
        <f>+Horticulture!F4</f>
        <v>1279.9003590299999</v>
      </c>
      <c r="F13" s="72">
        <f>+Horticulture!G4</f>
        <v>1398.5681542928376</v>
      </c>
      <c r="G13" s="72">
        <f>+Horticulture!H4</f>
        <v>1426.0777855523349</v>
      </c>
      <c r="H13" s="73">
        <f t="shared" si="1"/>
        <v>1.9669853896685519E-2</v>
      </c>
      <c r="I13" s="74">
        <f t="shared" si="2"/>
        <v>1220.9834626230345</v>
      </c>
      <c r="J13" s="73">
        <f t="shared" si="3"/>
        <v>0.16797469352180827</v>
      </c>
      <c r="K13" s="69" t="str">
        <f>+Horticulture!L4</f>
        <v>ABS (2023)</v>
      </c>
      <c r="L13" s="69" t="str">
        <f>+Horticulture!M4</f>
        <v>Australian Bureau of Statistics (2023). 7503.0 Value of Agricultural Commodities Produced, Australia 2021-22. Last accessed October 2023. 
&lt;http://www.abs.gov.au/ausstats/abs@.nsf/mf/7503.0&gt;</v>
      </c>
    </row>
    <row r="14" spans="1:12" x14ac:dyDescent="0.25">
      <c r="A14" s="22" t="s">
        <v>35</v>
      </c>
      <c r="B14" s="71" t="s">
        <v>45</v>
      </c>
      <c r="C14" s="72">
        <f>+Horticulture!D5</f>
        <v>494.60913132000002</v>
      </c>
      <c r="D14" s="72">
        <f>+Horticulture!E5</f>
        <v>427.19998650999997</v>
      </c>
      <c r="E14" s="72">
        <f>+Horticulture!F5</f>
        <v>634.05250588000001</v>
      </c>
      <c r="F14" s="72">
        <f>+Horticulture!G5</f>
        <v>719.99931601867377</v>
      </c>
      <c r="G14" s="72">
        <f>+Horticulture!H5</f>
        <v>753.31998801845543</v>
      </c>
      <c r="H14" s="73">
        <f t="shared" si="1"/>
        <v>4.6278755074424804E-2</v>
      </c>
      <c r="I14" s="74">
        <f t="shared" si="2"/>
        <v>605.83618554942586</v>
      </c>
      <c r="J14" s="73">
        <f t="shared" si="3"/>
        <v>0.24343841782127651</v>
      </c>
      <c r="K14" s="69" t="str">
        <f>+Horticulture!L5</f>
        <v>ABS (2023)</v>
      </c>
      <c r="L14" s="69" t="str">
        <f>+Horticulture!M5</f>
        <v>Australian Bureau of Statistics (2023). 7503.0 Value of Agricultural Commodities Produced, Australia 2021-22. Last accessed October 2023. 
&lt;http://www.abs.gov.au/ausstats/abs@.nsf/mf/7503.0&gt;</v>
      </c>
    </row>
    <row r="15" spans="1:12" x14ac:dyDescent="0.25">
      <c r="A15" s="22" t="s">
        <v>36</v>
      </c>
      <c r="B15" s="71" t="s">
        <v>45</v>
      </c>
      <c r="C15" s="72">
        <f>+Horticulture!D6</f>
        <v>523.24164940000003</v>
      </c>
      <c r="D15" s="72">
        <f>+Horticulture!E6</f>
        <v>539.52643159000002</v>
      </c>
      <c r="E15" s="72">
        <f>+Horticulture!F6</f>
        <v>596.68593376000001</v>
      </c>
      <c r="F15" s="72">
        <f>+Horticulture!G6</f>
        <v>805.9</v>
      </c>
      <c r="G15" s="72">
        <f>+Horticulture!H6</f>
        <v>809.93283439881168</v>
      </c>
      <c r="H15" s="73">
        <f t="shared" si="1"/>
        <v>5.0041374845659625E-3</v>
      </c>
      <c r="I15" s="74">
        <f t="shared" si="2"/>
        <v>655.05736982976237</v>
      </c>
      <c r="J15" s="73">
        <f t="shared" si="3"/>
        <v>0.23643038259274696</v>
      </c>
      <c r="K15" s="69" t="str">
        <f>+Horticulture!L6</f>
        <v>ABS (2023)</v>
      </c>
      <c r="L15" s="69" t="str">
        <f>+Horticulture!M6</f>
        <v>Australian Bureau of Statistics (2023). 7503.0 Value of Agricultural Commodities Produced, Australia 2021-22. Last accessed October 2023. 
&lt;http://www.abs.gov.au/ausstats/abs@.nsf/mf/7503.0&gt;</v>
      </c>
    </row>
    <row r="16" spans="1:12" x14ac:dyDescent="0.25">
      <c r="A16" s="22" t="s">
        <v>37</v>
      </c>
      <c r="B16" s="71" t="s">
        <v>45</v>
      </c>
      <c r="C16" s="72">
        <f>+Wine!D3</f>
        <v>268.84838020000001</v>
      </c>
      <c r="D16" s="72">
        <f>+Wine!E3</f>
        <v>257.23559011999998</v>
      </c>
      <c r="E16" s="72">
        <f>+Wine!F3</f>
        <v>286.29324714000001</v>
      </c>
      <c r="F16" s="72">
        <f>+Wine!G3</f>
        <v>223.50038925999999</v>
      </c>
      <c r="G16" s="72">
        <f>+Wine!H3</f>
        <v>164.51703741</v>
      </c>
      <c r="H16" s="73">
        <f t="shared" si="1"/>
        <v>-0.26390715490604422</v>
      </c>
      <c r="I16" s="74">
        <f t="shared" si="2"/>
        <v>240.07892882599998</v>
      </c>
      <c r="J16" s="73">
        <f t="shared" si="3"/>
        <v>-0.31473770640972976</v>
      </c>
      <c r="K16" s="69" t="str">
        <f>+Wine!L3</f>
        <v>WA (2023)</v>
      </c>
      <c r="L16" s="69" t="str">
        <f>+Wine!M3</f>
        <v xml:space="preserve">Wine Australia (2023). National Vintage Report, 2023. Last accessed October 2023. </v>
      </c>
    </row>
    <row r="17" spans="1:12" x14ac:dyDescent="0.25">
      <c r="A17" s="15" t="s">
        <v>38</v>
      </c>
      <c r="B17" s="70" t="s">
        <v>45</v>
      </c>
      <c r="C17" s="66">
        <f>+SUM(C18:C26)</f>
        <v>6698.2760424599983</v>
      </c>
      <c r="D17" s="66">
        <f t="shared" ref="D17:G17" si="5">+SUM(D18:D26)</f>
        <v>6924.8634512899998</v>
      </c>
      <c r="E17" s="66">
        <f t="shared" si="5"/>
        <v>7010.8980421200004</v>
      </c>
      <c r="F17" s="66">
        <f t="shared" si="5"/>
        <v>8053.1295022801696</v>
      </c>
      <c r="G17" s="66">
        <f t="shared" si="5"/>
        <v>8236.5150354780326</v>
      </c>
      <c r="H17" s="67">
        <f t="shared" si="1"/>
        <v>2.27719587951416E-2</v>
      </c>
      <c r="I17" s="68">
        <f t="shared" si="2"/>
        <v>7384.7364147256403</v>
      </c>
      <c r="J17" s="67">
        <f t="shared" si="3"/>
        <v>0.11534313114465267</v>
      </c>
      <c r="K17" s="13"/>
      <c r="L17" s="13"/>
    </row>
    <row r="18" spans="1:12" x14ac:dyDescent="0.25">
      <c r="A18" s="22" t="s">
        <v>39</v>
      </c>
      <c r="B18" s="71" t="s">
        <v>45</v>
      </c>
      <c r="C18" s="72">
        <f>+Beef!D3</f>
        <v>2562.5153943</v>
      </c>
      <c r="D18" s="72">
        <f>+Beef!E3</f>
        <v>2724.1466098000001</v>
      </c>
      <c r="E18" s="72">
        <f>+Beef!F3</f>
        <v>2751.7723313000001</v>
      </c>
      <c r="F18" s="72">
        <f>+Beef!G3</f>
        <v>3332.7019005474381</v>
      </c>
      <c r="G18" s="72">
        <f>+Beef!H3</f>
        <v>3354.3198038975547</v>
      </c>
      <c r="H18" s="73">
        <f t="shared" si="1"/>
        <v>6.4865997605623171E-3</v>
      </c>
      <c r="I18" s="74">
        <f t="shared" si="2"/>
        <v>2945.0912079689988</v>
      </c>
      <c r="J18" s="73">
        <f t="shared" si="3"/>
        <v>0.13895277498409597</v>
      </c>
      <c r="K18" s="69" t="str">
        <f>+Beef!L3</f>
        <v>ABS (2023)</v>
      </c>
      <c r="L18" s="69" t="str">
        <f>+Beef!M3</f>
        <v>Australian Bureau of Statistics (2023). 7503.0 Value of Agricultural Commodities Produced, Australia 2021-22. Last accessed October 2023. 
&lt;http://www.abs.gov.au/ausstats/abs@.nsf/mf/7503.0&gt;</v>
      </c>
    </row>
    <row r="19" spans="1:12" x14ac:dyDescent="0.25">
      <c r="A19" s="22" t="s">
        <v>40</v>
      </c>
      <c r="B19" s="71" t="s">
        <v>45</v>
      </c>
      <c r="C19" s="72">
        <f>+'Sheep Meat'!D3</f>
        <v>1100.4796549</v>
      </c>
      <c r="D19" s="72">
        <f>+'Sheep Meat'!E3</f>
        <v>1359.9500029999999</v>
      </c>
      <c r="E19" s="72">
        <f>+'Sheep Meat'!F3</f>
        <v>1262.4716682000001</v>
      </c>
      <c r="F19" s="72">
        <f>+'Sheep Meat'!G3</f>
        <v>1484.794792164907</v>
      </c>
      <c r="G19" s="72">
        <f>+'Sheep Meat'!H3</f>
        <v>1401.4167512085123</v>
      </c>
      <c r="H19" s="73">
        <f t="shared" si="1"/>
        <v>-5.6154588766320512E-2</v>
      </c>
      <c r="I19" s="74">
        <f t="shared" si="2"/>
        <v>1321.8225738946837</v>
      </c>
      <c r="J19" s="73">
        <f t="shared" si="3"/>
        <v>6.0215477391423633E-2</v>
      </c>
      <c r="K19" s="69" t="str">
        <f>+'Sheep Meat'!L3</f>
        <v>ABS (2023)</v>
      </c>
      <c r="L19" s="69" t="str">
        <f>+'Sheep Meat'!M3</f>
        <v>Australian Bureau of Statistics (2023). 7503.0 Value of Agricultural Commodities Produced, Australia 2021-22. Last accessed October 2023. 
&lt;http://www.abs.gov.au/ausstats/abs@.nsf/mf/7503.0&gt;</v>
      </c>
    </row>
    <row r="20" spans="1:12" x14ac:dyDescent="0.25">
      <c r="A20" s="22" t="s">
        <v>285</v>
      </c>
      <c r="B20" s="71" t="s">
        <v>45</v>
      </c>
      <c r="C20" s="72">
        <f>+'Goat Meat'!D3</f>
        <v>6.6974224500000004</v>
      </c>
      <c r="D20" s="72">
        <f>+'Goat Meat'!E3</f>
        <v>10.254192029999999</v>
      </c>
      <c r="E20" s="72">
        <f>+'Goat Meat'!F3</f>
        <v>7.6492673799999995</v>
      </c>
      <c r="F20" s="72">
        <f>+'Goat Meat'!G3</f>
        <v>7.7224672587394281</v>
      </c>
      <c r="G20" s="72">
        <f>+'Goat Meat'!H3</f>
        <v>21.904241017692346</v>
      </c>
      <c r="H20" s="73">
        <f t="shared" si="1"/>
        <v>1.8364304157979521</v>
      </c>
      <c r="I20" s="74">
        <f t="shared" si="2"/>
        <v>10.845518027286355</v>
      </c>
      <c r="J20" s="73">
        <f t="shared" si="3"/>
        <v>1.0196583475849867</v>
      </c>
      <c r="K20" s="69" t="str">
        <f>+'Goat Meat'!L3</f>
        <v>ABS (2023)</v>
      </c>
      <c r="L20" s="69" t="str">
        <f>+'Goat Meat'!M3</f>
        <v>Australian Bureau of Statistics (2023). 7503.0 Value of Agricultural Commodities Produced, Australia 2021-22. Last accessed October 2023. 
&lt;http://www.abs.gov.au/ausstats/abs@.nsf/mf/7503.0&gt;</v>
      </c>
    </row>
    <row r="21" spans="1:12" x14ac:dyDescent="0.25">
      <c r="A21" s="22" t="s">
        <v>17</v>
      </c>
      <c r="B21" s="71" t="s">
        <v>45</v>
      </c>
      <c r="C21" s="72">
        <f>+Pork!D3</f>
        <v>193.76167734999999</v>
      </c>
      <c r="D21" s="72">
        <f>+Pork!E3</f>
        <v>245.90688943999999</v>
      </c>
      <c r="E21" s="72">
        <f>+Pork!F3</f>
        <v>251.78309056000001</v>
      </c>
      <c r="F21" s="72">
        <f>+Pork!G3</f>
        <v>229.60424208033197</v>
      </c>
      <c r="G21" s="72">
        <f>+Pork!H3</f>
        <v>246.48088401640661</v>
      </c>
      <c r="H21" s="73">
        <f t="shared" si="1"/>
        <v>7.3503180007318702E-2</v>
      </c>
      <c r="I21" s="74">
        <f t="shared" si="2"/>
        <v>233.50735668934772</v>
      </c>
      <c r="J21" s="73">
        <f t="shared" si="3"/>
        <v>5.5559394406226481E-2</v>
      </c>
      <c r="K21" s="69" t="str">
        <f>+Pork!L3</f>
        <v>ABS (2023)</v>
      </c>
      <c r="L21" s="69" t="str">
        <f>+Pork!M3</f>
        <v>Australian Bureau of Statistics (2023). 7503.0 Value of Agricultural Commodities Produced, Australia 2021-22. Last accessed October 2023. 
&lt;http://www.abs.gov.au/ausstats/abs@.nsf/mf/7503.0&gt;</v>
      </c>
    </row>
    <row r="22" spans="1:12" x14ac:dyDescent="0.25">
      <c r="A22" s="22" t="s">
        <v>18</v>
      </c>
      <c r="B22" s="71" t="s">
        <v>45</v>
      </c>
      <c r="C22" s="72">
        <f>+Poultry!D3</f>
        <v>784.82655599999998</v>
      </c>
      <c r="D22" s="72">
        <f>+Poultry!E3</f>
        <v>842.78658900000005</v>
      </c>
      <c r="E22" s="72">
        <f>+Poultry!F3</f>
        <v>770.98317228999997</v>
      </c>
      <c r="F22" s="72">
        <f>+Poultry!G3</f>
        <v>836.23640279773258</v>
      </c>
      <c r="G22" s="72">
        <f>+Poultry!H3</f>
        <v>917.49016114236292</v>
      </c>
      <c r="H22" s="73">
        <f t="shared" si="1"/>
        <v>9.7166014386345534E-2</v>
      </c>
      <c r="I22" s="74">
        <f t="shared" si="2"/>
        <v>830.46457624601919</v>
      </c>
      <c r="J22" s="73">
        <f t="shared" si="3"/>
        <v>0.10479144732425416</v>
      </c>
      <c r="K22" s="69" t="str">
        <f>+Poultry!L3</f>
        <v>ABS (2023)</v>
      </c>
      <c r="L22" s="69" t="str">
        <f>+Poultry!M3</f>
        <v>Australian Bureau of Statistics (2023). 7503.0 Value of Agricultural Commodities Produced, Australia 2021-22. Last accessed October 2023. 
&lt;http://www.abs.gov.au/ausstats/abs@.nsf/mf/7503.0&gt;</v>
      </c>
    </row>
    <row r="23" spans="1:12" x14ac:dyDescent="0.25">
      <c r="A23" s="22" t="s">
        <v>19</v>
      </c>
      <c r="B23" s="71" t="s">
        <v>45</v>
      </c>
      <c r="C23" s="72">
        <f>+Wool!D3</f>
        <v>1168.2357629000001</v>
      </c>
      <c r="D23" s="72">
        <f>+Wool!E3</f>
        <v>773.91666294000004</v>
      </c>
      <c r="E23" s="72">
        <f>+Wool!F3</f>
        <v>841.78255465999996</v>
      </c>
      <c r="F23" s="72">
        <f>+Wool!G3</f>
        <v>1102.8636452572766</v>
      </c>
      <c r="G23" s="72">
        <f>+Wool!H3</f>
        <v>1088.1887201743968</v>
      </c>
      <c r="H23" s="73">
        <f t="shared" si="1"/>
        <v>-1.3306200767417953E-2</v>
      </c>
      <c r="I23" s="74">
        <f t="shared" si="2"/>
        <v>994.99746918633468</v>
      </c>
      <c r="J23" s="73">
        <f t="shared" si="3"/>
        <v>9.3659786958322444E-2</v>
      </c>
      <c r="K23" s="69" t="str">
        <f>+Wool!L3</f>
        <v>ABS (2023)</v>
      </c>
      <c r="L23" s="69" t="str">
        <f>+Wool!M3</f>
        <v>Australian Bureau of Statistics (2023). 7503.0 Value of Agricultural Commodities Produced, Australia 2021-22. Last accessed October 2023. 
&lt;http://www.abs.gov.au/ausstats/abs@.nsf/mf/7503.0&gt;</v>
      </c>
    </row>
    <row r="24" spans="1:12" x14ac:dyDescent="0.25">
      <c r="A24" s="22" t="s">
        <v>20</v>
      </c>
      <c r="B24" s="71" t="s">
        <v>45</v>
      </c>
      <c r="C24" s="72">
        <f>+Eggs!D3</f>
        <v>238.80816077</v>
      </c>
      <c r="D24" s="72">
        <f>+Eggs!E3</f>
        <v>258.97607625000001</v>
      </c>
      <c r="E24" s="72">
        <f>+Eggs!F3</f>
        <v>389.42575252999995</v>
      </c>
      <c r="F24" s="72">
        <f>+Eggs!G3</f>
        <v>314.30803050142862</v>
      </c>
      <c r="G24" s="72">
        <f>+Eggs!H3</f>
        <v>354.15545592629684</v>
      </c>
      <c r="H24" s="73">
        <f t="shared" si="1"/>
        <v>0.12677826068044773</v>
      </c>
      <c r="I24" s="74">
        <f t="shared" si="2"/>
        <v>311.13469519554508</v>
      </c>
      <c r="J24" s="73">
        <f t="shared" si="3"/>
        <v>0.13827053490037056</v>
      </c>
      <c r="K24" s="69" t="str">
        <f>+Eggs!L3</f>
        <v>ABS (2023)</v>
      </c>
      <c r="L24" s="69" t="str">
        <f>+Eggs!M3</f>
        <v>Australian Bureau of Statistics (2023). 7503.0 Value of Agricultural Commodities Produced, Australia 2021-22. Last accessed October 2023. 
&lt;http://www.abs.gov.au/ausstats/abs@.nsf/mf/7503.0&gt;</v>
      </c>
    </row>
    <row r="25" spans="1:12" x14ac:dyDescent="0.25">
      <c r="A25" s="22" t="s">
        <v>21</v>
      </c>
      <c r="B25" s="71" t="s">
        <v>45</v>
      </c>
      <c r="C25" s="72">
        <f>+Milk!D3</f>
        <v>592.00293378999993</v>
      </c>
      <c r="D25" s="72">
        <f>+Milk!E3</f>
        <v>647.24634882999999</v>
      </c>
      <c r="E25" s="72">
        <f>+Milk!F3</f>
        <v>670.32424520000006</v>
      </c>
      <c r="F25" s="72">
        <f>+Milk!G3</f>
        <v>686.88446167231552</v>
      </c>
      <c r="G25" s="72">
        <f>+Milk!H3</f>
        <v>807.30844129480977</v>
      </c>
      <c r="H25" s="73">
        <f t="shared" si="1"/>
        <v>0.17531912037914688</v>
      </c>
      <c r="I25" s="74">
        <f t="shared" si="2"/>
        <v>680.75328615742501</v>
      </c>
      <c r="J25" s="73">
        <f t="shared" si="3"/>
        <v>0.18590458204283822</v>
      </c>
      <c r="K25" s="69" t="str">
        <f>+Milk!L3</f>
        <v>ABS (2023)</v>
      </c>
      <c r="L25" s="69" t="str">
        <f>+Milk!M3</f>
        <v>Australian Bureau of Statistics (2023). 7503.0 Value of Agricultural Commodities Produced, Australia 2021-22. Last accessed October 2023. 
&lt;http://www.abs.gov.au/ausstats/abs@.nsf/mf/7503.0&gt;</v>
      </c>
    </row>
    <row r="26" spans="1:12" x14ac:dyDescent="0.25">
      <c r="A26" s="22" t="s">
        <v>41</v>
      </c>
      <c r="B26" s="71" t="s">
        <v>45</v>
      </c>
      <c r="C26" s="72">
        <v>50.948480000000004</v>
      </c>
      <c r="D26" s="72">
        <v>61.680079999999997</v>
      </c>
      <c r="E26" s="72">
        <v>64.705960000000005</v>
      </c>
      <c r="F26" s="157">
        <v>58.013559999999998</v>
      </c>
      <c r="G26" s="157">
        <v>45.250576800000005</v>
      </c>
      <c r="H26" s="158">
        <f t="shared" si="1"/>
        <v>-0.21999999999999986</v>
      </c>
      <c r="I26" s="159">
        <f t="shared" si="2"/>
        <v>56.119731359999989</v>
      </c>
      <c r="J26" s="158">
        <f t="shared" si="3"/>
        <v>-0.19367795063515048</v>
      </c>
      <c r="K26" s="69"/>
      <c r="L26" s="69"/>
    </row>
    <row r="27" spans="1:12" x14ac:dyDescent="0.25">
      <c r="A27" s="9" t="s">
        <v>286</v>
      </c>
      <c r="B27" s="70" t="s">
        <v>45</v>
      </c>
      <c r="C27" s="66">
        <f>+SUM(C28:C31)</f>
        <v>701.4088677324271</v>
      </c>
      <c r="D27" s="66">
        <f t="shared" ref="D27:G27" si="6">+SUM(D28:D31)</f>
        <v>741.02262658790823</v>
      </c>
      <c r="E27" s="66">
        <f t="shared" si="6"/>
        <v>653.62453102494851</v>
      </c>
      <c r="F27" s="66">
        <f t="shared" si="6"/>
        <v>595.51722465443697</v>
      </c>
      <c r="G27" s="66">
        <f t="shared" si="6"/>
        <v>645.66453001156412</v>
      </c>
      <c r="H27" s="67">
        <f t="shared" si="1"/>
        <v>8.4207984724919305E-2</v>
      </c>
      <c r="I27" s="68">
        <f t="shared" si="2"/>
        <v>667.4475560022571</v>
      </c>
      <c r="J27" s="67">
        <f t="shared" si="3"/>
        <v>-3.2636310965260762E-2</v>
      </c>
      <c r="K27" s="13"/>
      <c r="L27" s="13"/>
    </row>
    <row r="28" spans="1:12" x14ac:dyDescent="0.25">
      <c r="A28" s="22" t="s">
        <v>287</v>
      </c>
      <c r="B28" s="71" t="s">
        <v>45</v>
      </c>
      <c r="C28" s="72">
        <f>+Forestry!D4</f>
        <v>348.11014594497101</v>
      </c>
      <c r="D28" s="72">
        <f>+Forestry!E4</f>
        <v>420.86483681995799</v>
      </c>
      <c r="E28" s="72">
        <f>+Forestry!F4</f>
        <v>360.81427178231399</v>
      </c>
      <c r="F28" s="72">
        <f>+Forestry!G4</f>
        <v>284.81670038722302</v>
      </c>
      <c r="G28" s="72">
        <f>+Forestry!H4</f>
        <v>310.42911613786669</v>
      </c>
      <c r="H28" s="73">
        <f t="shared" si="1"/>
        <v>8.9925961911019536E-2</v>
      </c>
      <c r="I28" s="74">
        <f t="shared" si="2"/>
        <v>345.00701421446649</v>
      </c>
      <c r="J28" s="73">
        <f t="shared" si="3"/>
        <v>-0.10022375387158122</v>
      </c>
      <c r="K28" s="69" t="str">
        <f>+Forestry!L4</f>
        <v>ABARES (2023c)</v>
      </c>
      <c r="L28" s="69" t="str">
        <f>+Forestry!M4</f>
        <v>Australian Bureau of Agricultural and Resource Economics and Sciences (2022). Australian Forest and Wood Product Statistics September – December 2022. Last accessed October 2023.</v>
      </c>
    </row>
    <row r="29" spans="1:12" x14ac:dyDescent="0.25">
      <c r="A29" s="22" t="s">
        <v>288</v>
      </c>
      <c r="B29" s="71" t="s">
        <v>45</v>
      </c>
      <c r="C29" s="72">
        <f>+Forestry!D5</f>
        <v>165.99927425653613</v>
      </c>
      <c r="D29" s="72">
        <f>+Forestry!E5</f>
        <v>121.5014718420702</v>
      </c>
      <c r="E29" s="72">
        <f>+Forestry!F5</f>
        <v>94.580597078184496</v>
      </c>
      <c r="F29" s="72">
        <f>+Forestry!G5</f>
        <v>110.7686062561839</v>
      </c>
      <c r="G29" s="72">
        <f>+Forestry!H5</f>
        <v>121.83951123712261</v>
      </c>
      <c r="H29" s="73">
        <f t="shared" si="1"/>
        <v>9.9946233460174616E-2</v>
      </c>
      <c r="I29" s="74">
        <f t="shared" si="2"/>
        <v>122.93789213401946</v>
      </c>
      <c r="J29" s="73">
        <f t="shared" si="3"/>
        <v>-8.9344373637012531E-3</v>
      </c>
      <c r="K29" s="69" t="str">
        <f>+Forestry!L5</f>
        <v>ABARES (2023c)</v>
      </c>
      <c r="L29" s="69" t="str">
        <f>+Forestry!M5</f>
        <v>Australian Bureau of Agricultural and Resource Economics and Sciences (2022). Australian Forest and Wood Product Statistics September – December 2022. Last accessed October 2023.</v>
      </c>
    </row>
    <row r="30" spans="1:12" x14ac:dyDescent="0.25">
      <c r="A30" s="22" t="s">
        <v>289</v>
      </c>
      <c r="B30" s="71" t="s">
        <v>45</v>
      </c>
      <c r="C30" s="72">
        <f>+Fisheries!D4</f>
        <v>80.400627</v>
      </c>
      <c r="D30" s="72">
        <f>+Fisheries!E4</f>
        <v>89.486498999999995</v>
      </c>
      <c r="E30" s="72">
        <f>+Fisheries!F4</f>
        <v>98.432681000000002</v>
      </c>
      <c r="F30" s="72">
        <f>+Fisheries!G4</f>
        <v>105.222483</v>
      </c>
      <c r="G30" s="72">
        <f>+Fisheries!H4</f>
        <v>113.46141181654428</v>
      </c>
      <c r="H30" s="73">
        <f t="shared" si="1"/>
        <v>7.8300079808459655E-2</v>
      </c>
      <c r="I30" s="74">
        <f t="shared" si="2"/>
        <v>97.400740363308856</v>
      </c>
      <c r="J30" s="73">
        <f t="shared" si="3"/>
        <v>0.16489270403210954</v>
      </c>
      <c r="K30" s="69" t="str">
        <f>+Fisheries!L4</f>
        <v>DPI (2023d)</v>
      </c>
      <c r="L30" s="69" t="str">
        <f>+Fisheries!M4</f>
        <v>NSW Department of Primary Industries (2023). Aquaculture Production Report 2021-22. Last accessed October 2023. &lt;https://www.dpi.nsw.gov.au/fishing/aquaculture/publications/aquaculture-production-reports&gt;</v>
      </c>
    </row>
    <row r="31" spans="1:12" x14ac:dyDescent="0.25">
      <c r="A31" s="22" t="s">
        <v>290</v>
      </c>
      <c r="B31" s="71" t="s">
        <v>45</v>
      </c>
      <c r="C31" s="72">
        <f>+Fisheries!D5</f>
        <v>106.89882053091998</v>
      </c>
      <c r="D31" s="72">
        <f>+Fisheries!E5</f>
        <v>109.16981892588007</v>
      </c>
      <c r="E31" s="72">
        <f>+Fisheries!F5</f>
        <v>99.796981164450003</v>
      </c>
      <c r="F31" s="72">
        <f>+Fisheries!G5</f>
        <v>94.70943501103001</v>
      </c>
      <c r="G31" s="72">
        <f>+Fisheries!H5</f>
        <v>99.934490820030561</v>
      </c>
      <c r="H31" s="73">
        <f t="shared" si="1"/>
        <v>5.5169327199471097E-2</v>
      </c>
      <c r="I31" s="74">
        <f t="shared" si="2"/>
        <v>102.10190929046212</v>
      </c>
      <c r="J31" s="73">
        <f t="shared" si="3"/>
        <v>-2.1227991577176364E-2</v>
      </c>
      <c r="K31" s="69" t="str">
        <f>+Fisheries!L5</f>
        <v>ABARES (2021f)</v>
      </c>
      <c r="L31" s="69" t="str">
        <f>+Fisheries!M5</f>
        <v>Australian Bureau of Agricultural and Resource Economics (2023). Australian Fisheries and Aquaculture Statistics 2021. Last Accessed October 2023. https://www.agriculture.gov.au/abares/research-topics/fisheries/fisheries-and-aquaculture-statistics</v>
      </c>
    </row>
    <row r="32" spans="1:12" x14ac:dyDescent="0.25">
      <c r="A32" s="18" t="s">
        <v>42</v>
      </c>
      <c r="B32" s="71"/>
      <c r="C32" s="72">
        <f>+C2+C12+C17+C27</f>
        <v>12454.797989772425</v>
      </c>
      <c r="D32" s="72">
        <f>+D2+D12+D17+D27</f>
        <v>12016.056723597909</v>
      </c>
      <c r="E32" s="72">
        <f>+E2+E12+E17+E27</f>
        <v>18751.042624134945</v>
      </c>
      <c r="F32" s="157">
        <f t="shared" ref="F32" si="7">+F2+F12+F17+F27</f>
        <v>23242.29421082995</v>
      </c>
      <c r="G32" s="157">
        <f>+G2+G12+G17+G27</f>
        <v>21220.186458556062</v>
      </c>
      <c r="H32" s="73">
        <f t="shared" ref="H32" si="8">IF(ISBLANK(G32),"N/A",IF(ISNA(G32/F32-1),"N/A",IF(ISERROR(G32/F32-1),"N/A",G32/F32-1)))</f>
        <v>-8.7001211409313939E-2</v>
      </c>
      <c r="I32" s="74">
        <f t="shared" ref="I32" si="9">IF(ISBLANK(G32),"",IF(ISNA(AVERAGE(C32:G32)),"N/A",IF(ISERROR(AVERAGE(C32:G32)),"N/A",AVERAGE(C32:G32))))</f>
        <v>17536.875601378259</v>
      </c>
      <c r="J32" s="73">
        <f t="shared" ref="J32" si="10">IF(ISBLANK(G32),"",IF(ISNA(G32/AVERAGE(C32:G32)-1),"N/A",IF(ISERROR(G32/AVERAGE(C32:G32)-1),"N/A",G32/AVERAGE(C32:G32)-1)))</f>
        <v>0.21003233078122108</v>
      </c>
      <c r="K32" s="69"/>
      <c r="L32" s="69"/>
    </row>
    <row r="33" spans="1:12" x14ac:dyDescent="0.25">
      <c r="A33" s="26" t="s">
        <v>43</v>
      </c>
      <c r="B33" s="13"/>
      <c r="C33" s="13"/>
      <c r="D33" s="13"/>
      <c r="E33" s="13"/>
      <c r="F33" s="13"/>
      <c r="G33" s="13"/>
      <c r="H33" s="13"/>
      <c r="I33" s="13"/>
      <c r="J33" s="13"/>
      <c r="K33" s="13"/>
      <c r="L33" s="13"/>
    </row>
    <row r="34" spans="1:12" x14ac:dyDescent="0.25">
      <c r="A34" s="13" t="s">
        <v>291</v>
      </c>
      <c r="B34" s="13"/>
      <c r="C34" s="13"/>
      <c r="D34" s="13"/>
      <c r="E34" s="13"/>
      <c r="F34" s="13"/>
      <c r="G34" s="13"/>
      <c r="H34" s="13"/>
      <c r="I34" s="13"/>
      <c r="J34" s="13"/>
      <c r="K34" s="13"/>
      <c r="L34" s="13"/>
    </row>
    <row r="35" spans="1:12" x14ac:dyDescent="0.25">
      <c r="A35" s="141" t="s">
        <v>292</v>
      </c>
      <c r="B35" s="13"/>
      <c r="C35" s="13"/>
      <c r="D35" s="13"/>
      <c r="E35" s="13"/>
      <c r="F35" s="13"/>
      <c r="G35" s="13"/>
      <c r="H35" s="13"/>
      <c r="I35" s="13"/>
      <c r="J35" s="13"/>
      <c r="K35" s="13"/>
      <c r="L35" s="13"/>
    </row>
    <row r="36" spans="1:12" x14ac:dyDescent="0.25">
      <c r="A36" s="141" t="s">
        <v>293</v>
      </c>
      <c r="B36" s="13"/>
      <c r="C36" s="13"/>
      <c r="D36" s="13"/>
      <c r="E36" s="13"/>
      <c r="F36" s="13"/>
      <c r="G36" s="13"/>
      <c r="H36" s="13"/>
      <c r="I36" s="13"/>
      <c r="J36" s="13"/>
      <c r="K36" s="13"/>
      <c r="L36" s="13"/>
    </row>
    <row r="37" spans="1:12" x14ac:dyDescent="0.25">
      <c r="A37" s="141" t="s">
        <v>294</v>
      </c>
      <c r="B37" s="13"/>
      <c r="C37" s="13"/>
      <c r="D37" s="13"/>
      <c r="E37" s="13"/>
      <c r="F37" s="13"/>
      <c r="G37" s="13"/>
      <c r="H37" s="13"/>
      <c r="I37" s="13"/>
      <c r="J37" s="13"/>
      <c r="K37" s="13"/>
      <c r="L37" s="13"/>
    </row>
    <row r="38" spans="1:12" x14ac:dyDescent="0.25">
      <c r="A38" s="141" t="s">
        <v>295</v>
      </c>
      <c r="B38" s="13"/>
      <c r="C38" s="13"/>
      <c r="D38" s="13"/>
      <c r="E38" s="13"/>
      <c r="F38" s="13"/>
      <c r="G38" s="13"/>
      <c r="H38" s="13"/>
      <c r="I38" s="13"/>
      <c r="J38" s="13"/>
      <c r="K38" s="13"/>
      <c r="L38" s="13"/>
    </row>
    <row r="39" spans="1:12" x14ac:dyDescent="0.25">
      <c r="A39" s="141" t="s">
        <v>296</v>
      </c>
      <c r="B39" s="13"/>
      <c r="C39" s="13"/>
      <c r="D39" s="13"/>
      <c r="E39" s="13"/>
      <c r="F39" s="13"/>
      <c r="G39" s="13"/>
      <c r="H39" s="13"/>
      <c r="I39" s="13"/>
      <c r="J39" s="13"/>
      <c r="K39" s="13"/>
      <c r="L39" s="13"/>
    </row>
    <row r="40" spans="1:12" x14ac:dyDescent="0.25">
      <c r="A40" s="13" t="s">
        <v>271</v>
      </c>
      <c r="B40" s="13"/>
      <c r="C40" s="13"/>
      <c r="D40" s="13"/>
      <c r="E40" s="13"/>
      <c r="F40" s="13"/>
      <c r="G40" s="13"/>
      <c r="H40" s="13"/>
      <c r="I40" s="13"/>
      <c r="J40" s="13"/>
      <c r="K40" s="13"/>
      <c r="L40" s="13"/>
    </row>
    <row r="41" spans="1:12" x14ac:dyDescent="0.25">
      <c r="A41" s="149"/>
      <c r="B41" s="13"/>
      <c r="C41" s="13"/>
      <c r="D41" s="13"/>
      <c r="E41" s="13"/>
      <c r="F41" s="13"/>
      <c r="G41" s="13"/>
      <c r="H41" s="13"/>
      <c r="I41" s="13"/>
      <c r="J41" s="13"/>
      <c r="K41" s="13"/>
      <c r="L41" s="13"/>
    </row>
  </sheetData>
  <conditionalFormatting sqref="A2:J5 A7:J26">
    <cfRule type="expression" dxfId="80" priority="8">
      <formula>MOD(ROW(),2)=0</formula>
    </cfRule>
  </conditionalFormatting>
  <conditionalFormatting sqref="A28:J31 B32:J32">
    <cfRule type="expression" dxfId="79" priority="7">
      <formula>MOD(ROW(),2)=0</formula>
    </cfRule>
  </conditionalFormatting>
  <conditionalFormatting sqref="A27:J27">
    <cfRule type="expression" dxfId="78" priority="6">
      <formula>MOD(ROW(),2)=0</formula>
    </cfRule>
  </conditionalFormatting>
  <conditionalFormatting sqref="A6:J6">
    <cfRule type="expression" dxfId="77" priority="4">
      <formula>MOD(ROW(),2)=0</formula>
    </cfRule>
  </conditionalFormatting>
  <conditionalFormatting sqref="B2:B32">
    <cfRule type="expression" dxfId="76" priority="3">
      <formula>MOD(ROW(),2)=0</formula>
    </cfRule>
  </conditionalFormatting>
  <conditionalFormatting sqref="A32">
    <cfRule type="expression" dxfId="75" priority="1">
      <formula>MOD(ROW(),2)=0</formula>
    </cfRule>
  </conditionalFormatting>
  <pageMargins left="0.7" right="0.7" top="0.75" bottom="0.75" header="0.3" footer="0.3"/>
  <pageSetup paperSize="9" scale="27" fitToHeight="0"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38E91-9548-460B-9A44-2768877E5A74}">
  <sheetPr codeName="Sheet23"/>
  <dimension ref="A1:L72"/>
  <sheetViews>
    <sheetView workbookViewId="0"/>
  </sheetViews>
  <sheetFormatPr defaultRowHeight="15" x14ac:dyDescent="0.25"/>
  <cols>
    <col min="1" max="1" width="27.7109375" customWidth="1"/>
    <col min="2" max="2" width="16.28515625" bestFit="1" customWidth="1"/>
    <col min="3" max="3" width="9.5703125" bestFit="1" customWidth="1"/>
    <col min="4" max="6" width="9" bestFit="1" customWidth="1"/>
    <col min="7" max="7" width="9.140625" bestFit="1" customWidth="1"/>
    <col min="8" max="10" width="9" bestFit="1" customWidth="1"/>
  </cols>
  <sheetData>
    <row r="1" spans="1:12" ht="48.75" x14ac:dyDescent="0.25">
      <c r="A1" s="5" t="s">
        <v>102</v>
      </c>
      <c r="B1" s="5" t="s">
        <v>44</v>
      </c>
      <c r="C1" s="5" t="str">
        <f>+'Gross Value of Production'!C1</f>
        <v>2018-19</v>
      </c>
      <c r="D1" s="5" t="str">
        <f>+'Gross Value of Production'!D1</f>
        <v>2019-20</v>
      </c>
      <c r="E1" s="5" t="str">
        <f>+'Gross Value of Production'!E1</f>
        <v>2020-21</v>
      </c>
      <c r="F1" s="5" t="str">
        <f>+'Gross Value of Production'!F1</f>
        <v>2021-22s</v>
      </c>
      <c r="G1" s="5" t="str">
        <f>+'Gross Value of Production'!G1</f>
        <v>2022-23e</v>
      </c>
      <c r="H1" s="19" t="s">
        <v>47</v>
      </c>
      <c r="I1" s="19" t="s">
        <v>48</v>
      </c>
      <c r="J1" s="19" t="s">
        <v>49</v>
      </c>
      <c r="K1" s="9" t="s">
        <v>50</v>
      </c>
      <c r="L1" s="9" t="s">
        <v>51</v>
      </c>
    </row>
    <row r="2" spans="1:12" x14ac:dyDescent="0.25">
      <c r="A2" s="9" t="s">
        <v>103</v>
      </c>
      <c r="B2" s="9"/>
      <c r="C2" s="20"/>
      <c r="D2" s="20"/>
      <c r="E2" s="57"/>
      <c r="F2" s="57"/>
      <c r="G2" s="57"/>
      <c r="H2" s="58"/>
      <c r="I2" s="58"/>
      <c r="J2" s="58"/>
      <c r="K2" s="11"/>
      <c r="L2" s="11"/>
    </row>
    <row r="3" spans="1:12" x14ac:dyDescent="0.25">
      <c r="A3" s="22" t="s">
        <v>7</v>
      </c>
      <c r="B3" s="6" t="s">
        <v>59</v>
      </c>
      <c r="C3" s="59">
        <f>+Wheat!D6</f>
        <v>1850.335</v>
      </c>
      <c r="D3" s="59">
        <f>+Wheat!E6</f>
        <v>1772.365</v>
      </c>
      <c r="E3" s="59">
        <f>+Wheat!F6</f>
        <v>12972.151</v>
      </c>
      <c r="F3" s="59">
        <f>+Wheat!G6</f>
        <v>12029.415000000001</v>
      </c>
      <c r="G3" s="59">
        <f>+Wheat!H6</f>
        <v>10260</v>
      </c>
      <c r="H3" s="60">
        <f>+Wheat!I6</f>
        <v>-0.14709069393648821</v>
      </c>
      <c r="I3" s="59">
        <f>+Wheat!J6</f>
        <v>7776.8532000000005</v>
      </c>
      <c r="J3" s="60">
        <f>+Wheat!K6</f>
        <v>0.31929968795090535</v>
      </c>
      <c r="K3" s="130" t="str">
        <f>+Wheat!L6</f>
        <v>ABARES (2023a)</v>
      </c>
      <c r="L3" s="130" t="str">
        <f>+Wheat!M6</f>
        <v>Australian Bureau of Agricultural and Resource Economics and Sciences (2023). Australian Crop Report, September 2023. Last accessed October 2023.</v>
      </c>
    </row>
    <row r="4" spans="1:12" x14ac:dyDescent="0.25">
      <c r="A4" s="22" t="s">
        <v>8</v>
      </c>
      <c r="B4" s="6" t="s">
        <v>59</v>
      </c>
      <c r="C4" s="59">
        <f>+Barley!D6</f>
        <v>909.08900000000006</v>
      </c>
      <c r="D4" s="59">
        <f>+Barley!E6</f>
        <v>916.3</v>
      </c>
      <c r="E4" s="59">
        <f>+Barley!F6</f>
        <v>4257.9880000000003</v>
      </c>
      <c r="F4" s="59">
        <f>+Barley!G6</f>
        <v>3561.7190000000001</v>
      </c>
      <c r="G4" s="59">
        <f>+Barley!H6</f>
        <v>2277.6</v>
      </c>
      <c r="H4" s="60">
        <f>+Barley!I6</f>
        <v>-0.36053349520273781</v>
      </c>
      <c r="I4" s="59">
        <f>+Barley!J6</f>
        <v>2384.5392000000002</v>
      </c>
      <c r="J4" s="60">
        <f>+Barley!K6</f>
        <v>-4.4846903753983258E-2</v>
      </c>
      <c r="K4" s="130" t="str">
        <f>+Barley!L6</f>
        <v>ABARES (2023a)</v>
      </c>
      <c r="L4" s="130" t="str">
        <f>+Barley!M6</f>
        <v>Australian Bureau of Agricultural and Resource Economics and Sciences (2023). Australian Crop Report, September 2023. Last accessed October 2023.</v>
      </c>
    </row>
    <row r="5" spans="1:12" x14ac:dyDescent="0.25">
      <c r="A5" s="22" t="s">
        <v>9</v>
      </c>
      <c r="B5" s="6" t="s">
        <v>59</v>
      </c>
      <c r="C5" s="59">
        <f>+Rice!D6</f>
        <v>61.186999999999998</v>
      </c>
      <c r="D5" s="59">
        <f>+Rice!E6</f>
        <v>46.128</v>
      </c>
      <c r="E5" s="59">
        <f>+Rice!F6</f>
        <v>416.827</v>
      </c>
      <c r="F5" s="59">
        <f>+Rice!G6</f>
        <v>685.44799999999998</v>
      </c>
      <c r="G5" s="59">
        <f>+Rice!H6</f>
        <v>515</v>
      </c>
      <c r="H5" s="60">
        <f>+Rice!I6</f>
        <v>-0.24866656551627542</v>
      </c>
      <c r="I5" s="59">
        <f>+Rice!J6</f>
        <v>344.91800000000001</v>
      </c>
      <c r="J5" s="60">
        <f>+Rice!K6</f>
        <v>0.49310850694947783</v>
      </c>
      <c r="K5" s="130" t="str">
        <f>+Rice!L6</f>
        <v>ABARES (2023a)</v>
      </c>
      <c r="L5" s="130" t="str">
        <f>+Rice!M6</f>
        <v>Australian Bureau of Agricultural and Resource Economics and Sciences (2023). Australian Crop Report, September 2023. Last accessed October 2023.</v>
      </c>
    </row>
    <row r="6" spans="1:12" x14ac:dyDescent="0.25">
      <c r="A6" s="22" t="s">
        <v>32</v>
      </c>
      <c r="B6" s="6" t="s">
        <v>59</v>
      </c>
      <c r="C6" s="59">
        <f>+'Coarse Grains'!D6</f>
        <v>741.28899999999999</v>
      </c>
      <c r="D6" s="59">
        <f>+'Coarse Grains'!E6</f>
        <v>598.07999999999993</v>
      </c>
      <c r="E6" s="59">
        <f>+'Coarse Grains'!F6</f>
        <v>1073.3789999999999</v>
      </c>
      <c r="F6" s="59">
        <f>+'Coarse Grains'!G6</f>
        <v>1444.896</v>
      </c>
      <c r="G6" s="59">
        <f>+'Coarse Grains'!H6</f>
        <v>1279.2</v>
      </c>
      <c r="H6" s="60">
        <f>+'Coarse Grains'!I6</f>
        <v>-0.11467676566341101</v>
      </c>
      <c r="I6" s="59">
        <f>+'Coarse Grains'!J6</f>
        <v>1027.3687999999997</v>
      </c>
      <c r="J6" s="60">
        <f>+'Coarse Grains'!K6</f>
        <v>0.24512249155317978</v>
      </c>
      <c r="K6" s="130" t="str">
        <f>+'Coarse Grains'!L6</f>
        <v>ABARES (2023a)</v>
      </c>
      <c r="L6" s="130" t="str">
        <f>+'Coarse Grains'!M6</f>
        <v>Australian Bureau of Agricultural and Resource Economics and Sciences (2023). Australian Crop Report, September 2023. Last accessed October 2023.</v>
      </c>
    </row>
    <row r="7" spans="1:12" x14ac:dyDescent="0.25">
      <c r="A7" s="22" t="s">
        <v>10</v>
      </c>
      <c r="B7" s="6" t="s">
        <v>59</v>
      </c>
      <c r="C7" s="59">
        <f>+Pulses!D6</f>
        <v>564.33999999999992</v>
      </c>
      <c r="D7" s="59">
        <f>+Pulses!E6</f>
        <v>75.793999999999997</v>
      </c>
      <c r="E7" s="59">
        <f>+Pulses!F6</f>
        <v>83.423000000000002</v>
      </c>
      <c r="F7" s="59">
        <f>+Pulses!G6</f>
        <v>845.67</v>
      </c>
      <c r="G7" s="59">
        <f>+Pulses!H6</f>
        <v>787.74</v>
      </c>
      <c r="H7" s="60">
        <f>+Pulses!I6</f>
        <v>-6.8501897903437414E-2</v>
      </c>
      <c r="I7" s="59">
        <f>+Pulses!J6</f>
        <v>471.39339999999993</v>
      </c>
      <c r="J7" s="60">
        <f>+Pulses!K6</f>
        <v>0.67108830967934674</v>
      </c>
      <c r="K7" s="130" t="str">
        <f>+Pulses!L6</f>
        <v>ABARES (2023a)</v>
      </c>
      <c r="L7" s="130" t="str">
        <f>+Pulses!M6</f>
        <v>Australian Bureau of Agricultural and Resource Economics and Sciences (2023). Australian Crop Report, September 2023. Last accessed October 2023.</v>
      </c>
    </row>
    <row r="8" spans="1:12" x14ac:dyDescent="0.25">
      <c r="A8" s="22" t="s">
        <v>11</v>
      </c>
      <c r="B8" s="6" t="s">
        <v>59</v>
      </c>
      <c r="C8" s="59">
        <f>+Oilseeds!D6</f>
        <v>263.03500000000003</v>
      </c>
      <c r="D8" s="59">
        <f>+Oilseeds!E6</f>
        <v>206.19900000000001</v>
      </c>
      <c r="E8" s="59">
        <f>+Oilseeds!F6</f>
        <v>1532.184</v>
      </c>
      <c r="F8" s="59">
        <f>+Oilseeds!G6</f>
        <v>2114.1439999999998</v>
      </c>
      <c r="G8" s="59">
        <f>+Oilseeds!H6</f>
        <v>1800</v>
      </c>
      <c r="H8" s="142">
        <f>+Oilseeds!I6</f>
        <v>-0.14859158127355554</v>
      </c>
      <c r="I8" s="63">
        <f>+Oilseeds!J6</f>
        <v>1183.1124</v>
      </c>
      <c r="J8" s="142">
        <f>+Oilseeds!K6</f>
        <v>0.52141081439092352</v>
      </c>
      <c r="K8" s="130" t="str">
        <f>+Oilseeds!L6</f>
        <v>ABARES (2023a)</v>
      </c>
      <c r="L8" s="130" t="str">
        <f>+Oilseeds!M6</f>
        <v>Australian Bureau of Agricultural and Resource Economics and Sciences (2023). Australian Crop Report, September 2023. Last accessed October 2023.</v>
      </c>
    </row>
    <row r="9" spans="1:12" x14ac:dyDescent="0.25">
      <c r="A9" s="22" t="s">
        <v>12</v>
      </c>
      <c r="B9" s="6" t="s">
        <v>70</v>
      </c>
      <c r="C9" s="59">
        <f>+'Cotton Lint'!D6</f>
        <v>1414.4493392070483</v>
      </c>
      <c r="D9" s="59">
        <f>+'Cotton Lint'!E6</f>
        <v>366.87224669603523</v>
      </c>
      <c r="E9" s="59">
        <f>+'Cotton Lint'!F6</f>
        <v>1696.9603524229074</v>
      </c>
      <c r="F9" s="59">
        <f>+'Cotton Lint'!G6</f>
        <v>3678.7885462555068</v>
      </c>
      <c r="G9" s="59">
        <f>+'Cotton Lint'!H6</f>
        <v>3235.6607929515417</v>
      </c>
      <c r="H9" s="142">
        <f>+'Cotton Lint'!I6</f>
        <v>-0.12045480400198794</v>
      </c>
      <c r="I9" s="63">
        <f>+'Cotton Lint'!J6</f>
        <v>2078.5462555066078</v>
      </c>
      <c r="J9" s="142">
        <f>+'Cotton Lint'!K6</f>
        <v>0.55669414831613073</v>
      </c>
      <c r="K9" s="130" t="str">
        <f>+'Cotton Lint'!L6</f>
        <v>ABARES (2023a)</v>
      </c>
      <c r="L9" s="130" t="str">
        <f>+'Cotton Lint'!M6</f>
        <v>Australian Bureau of Agricultural and Resource Economics and Sciences (2023). Australian Crop Report, September 2023. Last accessed October 2023.</v>
      </c>
    </row>
    <row r="10" spans="1:12" x14ac:dyDescent="0.25">
      <c r="A10" s="22" t="s">
        <v>13</v>
      </c>
      <c r="B10" s="100" t="s">
        <v>91</v>
      </c>
      <c r="C10" s="8">
        <f>+Sugarcane!D6</f>
        <v>2003.3889999999999</v>
      </c>
      <c r="D10" s="8">
        <f>+Sugarcane!E6</f>
        <v>1600.875</v>
      </c>
      <c r="E10" s="8">
        <f>+Sugarcane!F6</f>
        <v>1744.028</v>
      </c>
      <c r="F10" s="8">
        <f>+Sugarcane!G6</f>
        <v>1610.5029999999999</v>
      </c>
      <c r="G10" s="8">
        <f>+Sugarcane!H6</f>
        <v>1320.4459999999999</v>
      </c>
      <c r="H10" s="148">
        <f>+Sugarcane!I6</f>
        <v>-0.18010335901268115</v>
      </c>
      <c r="I10" s="65">
        <f>+Sugarcane!J6</f>
        <v>1655.8481999999999</v>
      </c>
      <c r="J10" s="148">
        <f>+Sugarcane!K6</f>
        <v>-0.20255612803154299</v>
      </c>
      <c r="K10" s="130" t="str">
        <f>+Sugarcane!L6</f>
        <v>ASMC (2023)</v>
      </c>
      <c r="L10" s="130" t="str">
        <f>+Sugarcane!M6</f>
        <v>Australian Sugar Milling Council (2023). Sugar cane statistics. Last accessed October 2023.</v>
      </c>
    </row>
    <row r="11" spans="1:12" x14ac:dyDescent="0.25">
      <c r="A11" s="9" t="s">
        <v>104</v>
      </c>
      <c r="B11" s="9"/>
      <c r="C11" s="10"/>
      <c r="D11" s="10"/>
      <c r="E11" s="61"/>
      <c r="F11" s="62"/>
      <c r="G11" s="62"/>
      <c r="H11" s="21"/>
      <c r="I11" s="143" t="str">
        <f>IF(ISBLANK(F11),"",IF(ISNA(AVERAGE(C11:F11)),"N/A",IF(ISERROR(AVERAGE(C11:F11)),"N/A",AVERAGE(C11:F11))))</f>
        <v/>
      </c>
      <c r="J11" s="21"/>
      <c r="K11" s="58"/>
      <c r="L11" s="58"/>
    </row>
    <row r="12" spans="1:12" x14ac:dyDescent="0.25">
      <c r="A12" s="22" t="s">
        <v>105</v>
      </c>
      <c r="B12" s="6" t="s">
        <v>59</v>
      </c>
      <c r="C12" s="8">
        <f>Horticulture!D7</f>
        <v>158.86395241999998</v>
      </c>
      <c r="D12" s="8">
        <f>Horticulture!E7</f>
        <v>189.91538</v>
      </c>
      <c r="E12" s="8">
        <f>Horticulture!F7</f>
        <v>239.00335999999999</v>
      </c>
      <c r="F12" s="8">
        <f>Horticulture!G7</f>
        <v>208.73798714587545</v>
      </c>
      <c r="G12" s="8" t="str">
        <f>Horticulture!H7</f>
        <v>N/A</v>
      </c>
      <c r="H12" s="8" t="str">
        <f>Horticulture!I7</f>
        <v>N/A</v>
      </c>
      <c r="I12" s="8">
        <f>Horticulture!J7</f>
        <v>199.13016989146882</v>
      </c>
      <c r="J12" s="8" t="str">
        <f>Horticulture!K7</f>
        <v>N/A</v>
      </c>
      <c r="K12" s="8" t="str">
        <f>Horticulture!L7</f>
        <v>ABS (2023C)</v>
      </c>
      <c r="L12" s="8" t="str">
        <f>Horticulture!M7</f>
        <v>Australian Bureau of Statistics (2023). 7121.0 Agricultural Commodities, Australia 2021-22. Last accessed October 2023.</v>
      </c>
    </row>
    <row r="13" spans="1:12" x14ac:dyDescent="0.25">
      <c r="A13" s="22" t="s">
        <v>106</v>
      </c>
      <c r="B13" s="6" t="s">
        <v>59</v>
      </c>
      <c r="C13" s="8">
        <f>Horticulture!D8</f>
        <v>10.287822009999999</v>
      </c>
      <c r="D13" s="8">
        <f>Horticulture!E8</f>
        <v>15.703749999999999</v>
      </c>
      <c r="E13" s="8">
        <f>Horticulture!F8</f>
        <v>25.32931</v>
      </c>
      <c r="F13" s="8">
        <f>Horticulture!G8</f>
        <v>30.569241172303208</v>
      </c>
      <c r="G13" s="8" t="str">
        <f>Horticulture!H8</f>
        <v>N/A</v>
      </c>
      <c r="H13" s="8" t="str">
        <f>Horticulture!I8</f>
        <v>N/A</v>
      </c>
      <c r="I13" s="8">
        <f>Horticulture!J8</f>
        <v>20.4725307955758</v>
      </c>
      <c r="J13" s="8" t="str">
        <f>Horticulture!K8</f>
        <v>N/A</v>
      </c>
      <c r="K13" s="8" t="str">
        <f>Horticulture!L8</f>
        <v>ABS (2023C)</v>
      </c>
      <c r="L13" s="8" t="str">
        <f>Horticulture!M8</f>
        <v>Australian Bureau of Statistics (2023). 7121.0 Agricultural Commodities, Australia 2021-22. Last accessed October 2023.</v>
      </c>
    </row>
    <row r="14" spans="1:12" x14ac:dyDescent="0.25">
      <c r="A14" s="22" t="s">
        <v>107</v>
      </c>
      <c r="B14" s="6" t="s">
        <v>59</v>
      </c>
      <c r="C14" s="8">
        <f>Horticulture!D9</f>
        <v>71.418869999999998</v>
      </c>
      <c r="D14" s="8">
        <f>Horticulture!E9</f>
        <v>52.964460000000003</v>
      </c>
      <c r="E14" s="8">
        <f>Horticulture!F9</f>
        <v>47.529919999999997</v>
      </c>
      <c r="F14" s="8" t="str">
        <f>Horticulture!G9</f>
        <v>N/A</v>
      </c>
      <c r="G14" s="8" t="str">
        <f>Horticulture!H9</f>
        <v>N/A</v>
      </c>
      <c r="H14" s="8" t="str">
        <f>Horticulture!I9</f>
        <v>N/A</v>
      </c>
      <c r="I14" s="8">
        <f>Horticulture!J9</f>
        <v>57.304416666666668</v>
      </c>
      <c r="J14" s="8" t="str">
        <f>Horticulture!K9</f>
        <v>N/A</v>
      </c>
      <c r="K14" s="8" t="str">
        <f>Horticulture!L9</f>
        <v>ABS (2023C)</v>
      </c>
      <c r="L14" s="8" t="str">
        <f>Horticulture!M9</f>
        <v>Australian Bureau of Statistics (2023). 7121.0 Agricultural Commodities, Australia 2021-22. Last accessed October 2023.</v>
      </c>
    </row>
    <row r="15" spans="1:12" x14ac:dyDescent="0.25">
      <c r="A15" s="22" t="s">
        <v>108</v>
      </c>
      <c r="B15" s="6" t="s">
        <v>59</v>
      </c>
      <c r="C15" s="8">
        <f>Horticulture!D10</f>
        <v>11.182049429999999</v>
      </c>
      <c r="D15" s="8">
        <f>Horticulture!E10</f>
        <v>12.55725808</v>
      </c>
      <c r="E15" s="8">
        <f>Horticulture!F10</f>
        <v>9.7719533300000005</v>
      </c>
      <c r="F15" s="8" t="str">
        <f>Horticulture!G10</f>
        <v>N/A</v>
      </c>
      <c r="G15" s="8" t="str">
        <f>Horticulture!H10</f>
        <v>N/A</v>
      </c>
      <c r="H15" s="8" t="str">
        <f>Horticulture!I10</f>
        <v>N/A</v>
      </c>
      <c r="I15" s="8">
        <f>Horticulture!J10</f>
        <v>11.17042028</v>
      </c>
      <c r="J15" s="8" t="str">
        <f>Horticulture!K10</f>
        <v>N/A</v>
      </c>
      <c r="K15" s="8" t="str">
        <f>Horticulture!L10</f>
        <v>ABS (2023C)</v>
      </c>
      <c r="L15" s="8" t="str">
        <f>Horticulture!M10</f>
        <v>Australian Bureau of Statistics (2023). 7121.0 Agricultural Commodities, Australia 2021-22. Last accessed October 2023.</v>
      </c>
    </row>
    <row r="16" spans="1:12" x14ac:dyDescent="0.25">
      <c r="A16" s="22" t="s">
        <v>109</v>
      </c>
      <c r="B16" s="6" t="s">
        <v>59</v>
      </c>
      <c r="C16" s="8">
        <f>Horticulture!D11</f>
        <v>82.463119999999989</v>
      </c>
      <c r="D16" s="8">
        <f>Horticulture!E11</f>
        <v>51.373050000000006</v>
      </c>
      <c r="E16" s="8">
        <f>Horticulture!F11</f>
        <v>86.629519999999999</v>
      </c>
      <c r="F16" s="8">
        <f>Horticulture!G11</f>
        <v>51.163931407997225</v>
      </c>
      <c r="G16" s="8" t="str">
        <f>Horticulture!H11</f>
        <v>N/A</v>
      </c>
      <c r="H16" s="8" t="str">
        <f>Horticulture!I11</f>
        <v>N/A</v>
      </c>
      <c r="I16" s="8">
        <f>Horticulture!J11</f>
        <v>67.907405351999302</v>
      </c>
      <c r="J16" s="8" t="str">
        <f>Horticulture!K11</f>
        <v>N/A</v>
      </c>
      <c r="K16" s="8" t="str">
        <f>Horticulture!L11</f>
        <v>ABS (2023C)</v>
      </c>
      <c r="L16" s="8" t="str">
        <f>Horticulture!M11</f>
        <v>Australian Bureau of Statistics (2023). 7121.0 Agricultural Commodities, Australia 2021-22. Last accessed October 2023.</v>
      </c>
    </row>
    <row r="17" spans="1:12" x14ac:dyDescent="0.25">
      <c r="A17" s="22" t="s">
        <v>275</v>
      </c>
      <c r="B17" s="6" t="s">
        <v>59</v>
      </c>
      <c r="C17" s="8">
        <f>Wine!D6</f>
        <v>543.17737365515904</v>
      </c>
      <c r="D17" s="8">
        <f>Wine!E6</f>
        <v>498.19181551552401</v>
      </c>
      <c r="E17" s="8">
        <f>Wine!F6</f>
        <v>573.34846363665702</v>
      </c>
      <c r="F17" s="8">
        <f>Wine!G6</f>
        <v>494.82340398575599</v>
      </c>
      <c r="G17" s="8">
        <f>Wine!H6</f>
        <v>355.08309948247199</v>
      </c>
      <c r="H17" s="136">
        <f>Wine!I6</f>
        <v>-0.28240439594750166</v>
      </c>
      <c r="I17" s="8">
        <f>Wine!J6</f>
        <v>492.92483125511365</v>
      </c>
      <c r="J17" s="136">
        <f>Wine!K6</f>
        <v>-0.27964047057978614</v>
      </c>
      <c r="K17" s="8" t="str">
        <f>Wine!L6</f>
        <v>WA (2023)</v>
      </c>
      <c r="L17" s="146" t="str">
        <f>Wine!M6</f>
        <v xml:space="preserve">Wine Australia (2023). National Vintage Report, 2023. Last accessed October 2023. </v>
      </c>
    </row>
    <row r="18" spans="1:12" x14ac:dyDescent="0.25">
      <c r="A18" s="15" t="s">
        <v>110</v>
      </c>
      <c r="B18" s="9"/>
      <c r="C18" s="10"/>
      <c r="D18" s="10"/>
      <c r="E18" s="61"/>
      <c r="F18" s="62"/>
      <c r="G18" s="62"/>
      <c r="H18" s="21"/>
      <c r="I18" s="143" t="str">
        <f>IF(ISBLANK(F18),"",IF(ISNA(AVERAGE(C18:F18)),"N/A",IF(ISERROR(AVERAGE(C18:F18)),"N/A",AVERAGE(C18:F18))))</f>
        <v/>
      </c>
      <c r="J18" s="21"/>
      <c r="K18" s="131"/>
      <c r="L18" s="131"/>
    </row>
    <row r="19" spans="1:12" x14ac:dyDescent="0.25">
      <c r="A19" s="22" t="s">
        <v>39</v>
      </c>
      <c r="B19" s="6" t="s">
        <v>59</v>
      </c>
      <c r="C19" s="63">
        <f>+Beef!D7</f>
        <v>535.53800000000001</v>
      </c>
      <c r="D19" s="63">
        <f>+Beef!E7</f>
        <v>516.40300000000002</v>
      </c>
      <c r="E19" s="63">
        <f>+Beef!F7</f>
        <v>401.91699999999997</v>
      </c>
      <c r="F19" s="63">
        <f>+Beef!G7</f>
        <v>399.05700000000002</v>
      </c>
      <c r="G19" s="63">
        <f>+Beef!H7</f>
        <v>425.20100000000002</v>
      </c>
      <c r="H19" s="23">
        <f>IF(ISBLANK(G19),"N/A",IF(ISNA(G19/F19-1),"N/A",IF(ISERROR(G19/F19-1),"N/A",G19/F19-1)))</f>
        <v>6.5514450316621398E-2</v>
      </c>
      <c r="I19" s="24">
        <f>IF(ISBLANK(G19),"",IF(ISNA(AVERAGE(C19:G19)),"N/A",IF(ISERROR(AVERAGE(C19:G19)),"N/A",AVERAGE(C19:G19))))</f>
        <v>455.6232</v>
      </c>
      <c r="J19" s="23">
        <f t="shared" ref="J19:J26" si="0">IF(ISBLANK(G19),"",IF(ISNA(G19/AVERAGE(C19:G19)-1),"N/A",IF(ISERROR(G19/AVERAGE(C19:G19)-1),"N/A",G19/AVERAGE(C19:G19)-1)))</f>
        <v>-6.6770524415789123E-2</v>
      </c>
      <c r="K19" s="132" t="str">
        <f>+Beef!L7</f>
        <v>ABS (2023d)</v>
      </c>
      <c r="L19" s="132" t="str">
        <f>+Beef!M7</f>
        <v>Australian Bureau of Statistics (2021). 7215.0 Livestock Products, Australia. Last accessed September 2023.</v>
      </c>
    </row>
    <row r="20" spans="1:12" x14ac:dyDescent="0.25">
      <c r="A20" s="22" t="s">
        <v>40</v>
      </c>
      <c r="B20" s="6" t="s">
        <v>59</v>
      </c>
      <c r="C20" s="8">
        <f>SUM('Sheep Meat'!D7:D8)</f>
        <v>187.536</v>
      </c>
      <c r="D20" s="8">
        <f>SUM('Sheep Meat'!E7:E8)</f>
        <v>193.363</v>
      </c>
      <c r="E20" s="8">
        <f>SUM('Sheep Meat'!F7:F8)</f>
        <v>183.529</v>
      </c>
      <c r="F20" s="59">
        <f>SUM('Sheep Meat'!G7:G8)</f>
        <v>194.476</v>
      </c>
      <c r="G20" s="59">
        <f>SUM('Sheep Meat'!H7:H8)</f>
        <v>217.50199999999998</v>
      </c>
      <c r="H20" s="23">
        <f>IF(ISBLANK(G20),"N/A",IF(ISNA(G20/F20-1),"N/A",IF(ISERROR(G20/F20-1),"N/A",G20/F20-1)))</f>
        <v>0.11840021390814282</v>
      </c>
      <c r="I20" s="24">
        <f>IF(ISBLANK(G20),"",IF(ISNA(AVERAGE(C20:G20)),"N/A",IF(ISERROR(AVERAGE(C20:G20)),"N/A",AVERAGE(C20:G20))))</f>
        <v>195.28119999999998</v>
      </c>
      <c r="J20" s="23">
        <f>IF(ISBLANK(G20),"",IF(ISNA(G20/AVERAGE(C20:G20)-1),"N/A",IF(ISERROR(G20/AVERAGE(C20:G20)-1),"N/A",G20/AVERAGE(C20:G20)-1)))</f>
        <v>0.11378873132692746</v>
      </c>
      <c r="K20" s="130" t="str">
        <f>'Sheep Meat'!L7</f>
        <v>ABS (2023d)</v>
      </c>
      <c r="L20" s="130" t="str">
        <f>'Sheep Meat'!M7</f>
        <v>Australian Bureau of Statistics (2021). 7215.0 Livestock Products, Australia. Last accessed September 2023.</v>
      </c>
    </row>
    <row r="21" spans="1:12" x14ac:dyDescent="0.25">
      <c r="A21" s="22" t="s">
        <v>276</v>
      </c>
      <c r="B21" s="6" t="s">
        <v>59</v>
      </c>
      <c r="C21" s="64">
        <f>'Goat Meat'!D4/1000</f>
        <v>0.88400000000000001</v>
      </c>
      <c r="D21" s="64">
        <f>'Goat Meat'!E4/1000</f>
        <v>1.0860000000000001</v>
      </c>
      <c r="E21" s="64">
        <f>'Goat Meat'!F4/1000</f>
        <v>0.33900000000000002</v>
      </c>
      <c r="F21" s="147">
        <f>'Goat Meat'!G4/1000</f>
        <v>0.47699999999999998</v>
      </c>
      <c r="G21" s="147">
        <f>'Goat Meat'!H4/1000</f>
        <v>2.524</v>
      </c>
      <c r="H21" s="23">
        <f t="shared" ref="H21:H26" si="1">IF(ISBLANK(G21),"N/A",IF(ISNA(G21/F21-1),"N/A",IF(ISERROR(G21/F21-1),"N/A",G21/F21-1)))</f>
        <v>4.2914046121593294</v>
      </c>
      <c r="I21" s="24">
        <f t="shared" ref="I21:I26" si="2">IF(ISBLANK(G21),"",IF(ISNA(AVERAGE(C21:G21)),"N/A",IF(ISERROR(AVERAGE(C21:G21)),"N/A",AVERAGE(C21:G21))))</f>
        <v>1.0620000000000001</v>
      </c>
      <c r="J21" s="23">
        <f t="shared" si="0"/>
        <v>1.3766478342749529</v>
      </c>
      <c r="K21" s="133" t="str">
        <f>'Goat Meat'!L4</f>
        <v>ABS (2023d)</v>
      </c>
      <c r="L21" s="133" t="str">
        <f>'Goat Meat'!M4</f>
        <v>Australian Bureau of Statistics (2021). 7215.0 Livestock Products, Australia. Last accessed September 2023.</v>
      </c>
    </row>
    <row r="22" spans="1:12" x14ac:dyDescent="0.25">
      <c r="A22" s="22" t="s">
        <v>17</v>
      </c>
      <c r="B22" s="6" t="s">
        <v>59</v>
      </c>
      <c r="C22" s="63">
        <f>Pork!D5</f>
        <v>63.62</v>
      </c>
      <c r="D22" s="63">
        <f>Pork!E5</f>
        <v>62.795000000000002</v>
      </c>
      <c r="E22" s="63">
        <f>Pork!F5</f>
        <v>64.649000000000001</v>
      </c>
      <c r="F22" s="63">
        <f>Pork!G5</f>
        <v>61.643999999999998</v>
      </c>
      <c r="G22" s="63">
        <f>Pork!H5</f>
        <v>64.846000000000004</v>
      </c>
      <c r="H22" s="23">
        <f t="shared" si="1"/>
        <v>5.1943417039776785E-2</v>
      </c>
      <c r="I22" s="24">
        <f t="shared" si="2"/>
        <v>63.510799999999996</v>
      </c>
      <c r="J22" s="23">
        <f t="shared" si="0"/>
        <v>2.1023196054844373E-2</v>
      </c>
      <c r="K22" s="132" t="str">
        <f>Pork!L5</f>
        <v>ABS (2023d)</v>
      </c>
      <c r="L22" s="132" t="str">
        <f>Pork!M5</f>
        <v>Australian Bureau of Statistics (2021). 7215.0 Livestock Products, Australia. Last accessed September 2023.</v>
      </c>
    </row>
    <row r="23" spans="1:12" x14ac:dyDescent="0.25">
      <c r="A23" s="22" t="s">
        <v>18</v>
      </c>
      <c r="B23" s="6" t="s">
        <v>59</v>
      </c>
      <c r="C23" s="8">
        <f>+Poultry!D5</f>
        <v>462.01299999999998</v>
      </c>
      <c r="D23" s="8">
        <f>+Poultry!E5</f>
        <v>450.339</v>
      </c>
      <c r="E23" s="8">
        <f>+Poultry!F5</f>
        <v>456.375</v>
      </c>
      <c r="F23" s="59">
        <f>+Poultry!G5</f>
        <v>486.27300000000002</v>
      </c>
      <c r="G23" s="59">
        <f>+Poultry!H5</f>
        <v>495.02300000000002</v>
      </c>
      <c r="H23" s="23">
        <f t="shared" si="1"/>
        <v>1.7994007481394236E-2</v>
      </c>
      <c r="I23" s="24">
        <f t="shared" si="2"/>
        <v>470.00460000000004</v>
      </c>
      <c r="J23" s="23">
        <f t="shared" si="0"/>
        <v>5.3230117322256021E-2</v>
      </c>
      <c r="K23" s="130" t="str">
        <f>+Poultry!L5</f>
        <v>ABS (2023d)</v>
      </c>
      <c r="L23" s="130" t="str">
        <f>+Poultry!M5</f>
        <v>Australian Bureau of Statistics (2021). 7215.0 Livestock Products, Australia. Last accessed September 2023.</v>
      </c>
    </row>
    <row r="24" spans="1:12" x14ac:dyDescent="0.25">
      <c r="A24" s="22" t="s">
        <v>19</v>
      </c>
      <c r="B24" s="6" t="s">
        <v>59</v>
      </c>
      <c r="C24" s="63">
        <f>+Wool!D7</f>
        <v>91.886313900000019</v>
      </c>
      <c r="D24" s="63">
        <f>+Wool!E7</f>
        <v>97.295537600000003</v>
      </c>
      <c r="E24" s="63">
        <f>+Wool!F7</f>
        <v>100.3250532</v>
      </c>
      <c r="F24" s="63">
        <f>+Wool!G7</f>
        <v>97.295537600000003</v>
      </c>
      <c r="G24" s="63">
        <f>+Wool!H7</f>
        <v>100.3250532</v>
      </c>
      <c r="H24" s="23">
        <f t="shared" si="1"/>
        <v>3.1137251252517872E-2</v>
      </c>
      <c r="I24" s="24">
        <f t="shared" si="2"/>
        <v>97.425499099999996</v>
      </c>
      <c r="J24" s="23">
        <f t="shared" si="0"/>
        <v>2.97617577203666E-2</v>
      </c>
      <c r="K24" s="132" t="str">
        <f>+Wool!L7</f>
        <v>AWTA (2023)</v>
      </c>
      <c r="L24" s="132" t="str">
        <f>+Wool!M7</f>
        <v>Australian Wool Testing Authority (2023). AWTA Analytics. Key Test Data. Last Viewed October 2023.</v>
      </c>
    </row>
    <row r="25" spans="1:12" x14ac:dyDescent="0.25">
      <c r="A25" s="22" t="s">
        <v>20</v>
      </c>
      <c r="B25" s="6" t="s">
        <v>209</v>
      </c>
      <c r="C25" s="8">
        <f>Eggs!D5</f>
        <v>117.55601026000001</v>
      </c>
      <c r="D25" s="8">
        <f>Eggs!E5</f>
        <v>105.49648742000001</v>
      </c>
      <c r="E25" s="8">
        <f>Eggs!F5</f>
        <v>109.85436179999999</v>
      </c>
      <c r="F25" s="59">
        <f>Eggs!G5</f>
        <v>114.89480934358058</v>
      </c>
      <c r="G25" s="59" t="str">
        <f>Eggs!H5</f>
        <v>N/A</v>
      </c>
      <c r="H25" s="23" t="str">
        <f t="shared" si="1"/>
        <v>N/A</v>
      </c>
      <c r="I25" s="63">
        <f t="shared" si="2"/>
        <v>111.95041720589514</v>
      </c>
      <c r="J25" s="23" t="str">
        <f t="shared" si="0"/>
        <v>N/A</v>
      </c>
      <c r="K25" s="130" t="str">
        <f>Eggs!L5</f>
        <v>ABS (2023C)</v>
      </c>
      <c r="L25" s="130" t="str">
        <f>Eggs!M5</f>
        <v>Australian Bureau of Statistics (2023). 7121.0 Agricultural Commodities, Australia 2021-22. Last accessed October 2023.</v>
      </c>
    </row>
    <row r="26" spans="1:12" x14ac:dyDescent="0.25">
      <c r="A26" s="22" t="s">
        <v>277</v>
      </c>
      <c r="B26" s="6" t="s">
        <v>210</v>
      </c>
      <c r="C26" s="8">
        <f>Milk!D7</f>
        <v>1094.1582611447568</v>
      </c>
      <c r="D26" s="8">
        <f>Milk!E7</f>
        <v>1053.6095819277216</v>
      </c>
      <c r="E26" s="8">
        <f>Milk!F7</f>
        <v>1075.4441640654395</v>
      </c>
      <c r="F26" s="59">
        <f>Milk!G7</f>
        <v>1072.4243484740227</v>
      </c>
      <c r="G26" s="59">
        <f>Milk!H7</f>
        <v>989.86320143758917</v>
      </c>
      <c r="H26" s="23">
        <f t="shared" si="1"/>
        <v>-7.6985520847145716E-2</v>
      </c>
      <c r="I26" s="24">
        <f t="shared" si="2"/>
        <v>1057.0999114099059</v>
      </c>
      <c r="J26" s="23">
        <f t="shared" si="0"/>
        <v>-6.360487712333629E-2</v>
      </c>
      <c r="K26" s="130" t="str">
        <f>Milk!L7</f>
        <v>DA (2023a)</v>
      </c>
      <c r="L26" s="130" t="str">
        <f>Milk!M7</f>
        <v>Dairy Australia (2023), NSW Milk Production Report July 2023, last accessed November 2023.</v>
      </c>
    </row>
    <row r="27" spans="1:12" x14ac:dyDescent="0.25">
      <c r="A27" s="9" t="s">
        <v>111</v>
      </c>
      <c r="B27" s="9"/>
      <c r="C27" s="10"/>
      <c r="D27" s="10"/>
      <c r="E27" s="61"/>
      <c r="F27" s="62"/>
      <c r="G27" s="62"/>
      <c r="H27" s="21"/>
      <c r="I27" s="143" t="str">
        <f>IF(ISBLANK(F27),"",IF(ISNA(AVERAGE(C27:F27)),"N/A",IF(ISERROR(AVERAGE(C27:F27)),"N/A",AVERAGE(C27:F27))))</f>
        <v/>
      </c>
      <c r="J27" s="21"/>
      <c r="K27" s="131"/>
      <c r="L27" s="131"/>
    </row>
    <row r="28" spans="1:12" x14ac:dyDescent="0.25">
      <c r="A28" s="22" t="s">
        <v>112</v>
      </c>
      <c r="B28" s="6" t="s">
        <v>211</v>
      </c>
      <c r="C28" s="8">
        <f>Forestry!D8</f>
        <v>5084.5488699999996</v>
      </c>
      <c r="D28" s="8">
        <f>Forestry!E8</f>
        <v>5691.6279370000002</v>
      </c>
      <c r="E28" s="8">
        <f>Forestry!F8</f>
        <v>5747.0586569999996</v>
      </c>
      <c r="F28" s="59">
        <f>Forestry!G8</f>
        <v>3927.0926420000001</v>
      </c>
      <c r="G28" s="59" t="str">
        <f>Forestry!H8</f>
        <v>N/A</v>
      </c>
      <c r="H28" s="59" t="str">
        <f>Forestry!I8</f>
        <v>N/A</v>
      </c>
      <c r="I28" s="59">
        <f>Forestry!J8</f>
        <v>5112.5820264999993</v>
      </c>
      <c r="J28" s="59" t="str">
        <f>Forestry!K8</f>
        <v>N/A</v>
      </c>
      <c r="K28" s="130" t="str">
        <f>Forestry!L8</f>
        <v>ABARES (2023c)</v>
      </c>
      <c r="L28" s="130" t="str">
        <f>Forestry!M8</f>
        <v>Australian Bureau of Agricultural and Resource Economics and Sciences (2022). Australian Forest and Wood Product Statistics September – December 2022. Last accessed October 2023.</v>
      </c>
    </row>
    <row r="29" spans="1:12" x14ac:dyDescent="0.25">
      <c r="A29" s="22" t="s">
        <v>113</v>
      </c>
      <c r="B29" s="6" t="s">
        <v>211</v>
      </c>
      <c r="C29" s="8">
        <f>Forestry!D9</f>
        <v>1296.4871710799989</v>
      </c>
      <c r="D29" s="8">
        <f>Forestry!E9</f>
        <v>894.13333729479905</v>
      </c>
      <c r="E29" s="8">
        <f>Forestry!F9</f>
        <v>697.58842742533307</v>
      </c>
      <c r="F29" s="59">
        <f>Forestry!G9</f>
        <v>827.92774342533403</v>
      </c>
      <c r="G29" s="59" t="str">
        <f>Forestry!H9</f>
        <v>N/A</v>
      </c>
      <c r="H29" s="59" t="str">
        <f>Forestry!I9</f>
        <v>N/A</v>
      </c>
      <c r="I29" s="59">
        <f>Forestry!J9</f>
        <v>929.03416980636632</v>
      </c>
      <c r="J29" s="59" t="str">
        <f>Forestry!K9</f>
        <v>N/A</v>
      </c>
      <c r="K29" s="8" t="str">
        <f>Forestry!L9</f>
        <v>ABARES (2023c)</v>
      </c>
      <c r="L29" s="8" t="str">
        <f>Forestry!M9</f>
        <v>Australian Bureau of Agricultural and Resource Economics and Sciences (2022). Australian Forest and Wood Product Statistics September – December 2022. Last accessed October 2023.</v>
      </c>
    </row>
    <row r="30" spans="1:12" x14ac:dyDescent="0.25">
      <c r="A30" s="22" t="s">
        <v>278</v>
      </c>
      <c r="B30" s="6" t="s">
        <v>100</v>
      </c>
      <c r="C30" s="64">
        <f>Fisheries!D6</f>
        <v>5.5178659999999997</v>
      </c>
      <c r="D30" s="64">
        <f>Fisheries!E6</f>
        <v>5.9891009999999998</v>
      </c>
      <c r="E30" s="64">
        <f>Fisheries!F6</f>
        <v>6.2247890000000003</v>
      </c>
      <c r="F30" s="147">
        <f>Fisheries!G6</f>
        <v>5.486802</v>
      </c>
      <c r="G30" s="147" t="str">
        <f>Fisheries!H6</f>
        <v>N/A</v>
      </c>
      <c r="H30" s="147" t="str">
        <f>Fisheries!I6</f>
        <v>N/A</v>
      </c>
      <c r="I30" s="147">
        <f>Fisheries!J6</f>
        <v>5.8046395000000004</v>
      </c>
      <c r="J30" s="147" t="str">
        <f>Fisheries!K6</f>
        <v>N/A</v>
      </c>
      <c r="K30" s="64" t="str">
        <f>Fisheries!L6</f>
        <v>DPI (2023d)</v>
      </c>
      <c r="L30" s="64" t="str">
        <f>Fisheries!M6</f>
        <v>NSW Department of Primary Industries (2023). Aquaculture Production Report 2021-22. Last accessed October 2023. &lt;https://www.dpi.nsw.gov.au/fishing/aquaculture/publications/aquaculture-production-reports&gt;</v>
      </c>
    </row>
    <row r="31" spans="1:12" x14ac:dyDescent="0.25">
      <c r="A31" s="22" t="s">
        <v>252</v>
      </c>
      <c r="B31" s="6" t="s">
        <v>59</v>
      </c>
      <c r="C31" s="64">
        <f>+Fisheries!D7</f>
        <v>4.694</v>
      </c>
      <c r="D31" s="64">
        <f>+Fisheries!E7</f>
        <v>4.827</v>
      </c>
      <c r="E31" s="64">
        <f>+Fisheries!F7</f>
        <v>5.1059999999999999</v>
      </c>
      <c r="F31" s="147" t="str">
        <f>+Fisheries!G7</f>
        <v>N/A</v>
      </c>
      <c r="G31" s="147" t="str">
        <f>+Fisheries!H7</f>
        <v>N/A</v>
      </c>
      <c r="H31" s="147" t="str">
        <f>+Fisheries!I7</f>
        <v>N/A</v>
      </c>
      <c r="I31" s="147">
        <f>+Fisheries!J7</f>
        <v>4.8756666666666666</v>
      </c>
      <c r="J31" s="147" t="str">
        <f>+Fisheries!K7</f>
        <v>N/A</v>
      </c>
      <c r="K31" s="64" t="str">
        <f>+Fisheries!L7</f>
        <v>ABARES (2021f)</v>
      </c>
      <c r="L31" s="64" t="str">
        <f>+Fisheries!M7</f>
        <v>Australian Bureau of Agricultural and Resource Economics (2023). Australian Fisheries and Aquaculture Statistics 2021. Last Accessed October 2023. https://www.agriculture.gov.au/abares/research-topics/fisheries/fisheries-and-aquaculture-statistics</v>
      </c>
    </row>
    <row r="32" spans="1:12" x14ac:dyDescent="0.25">
      <c r="A32" s="22" t="s">
        <v>114</v>
      </c>
      <c r="B32" s="6" t="s">
        <v>59</v>
      </c>
      <c r="C32" s="64">
        <f>Fisheries!D8</f>
        <v>12.451287000000001</v>
      </c>
      <c r="D32" s="64">
        <f>Fisheries!E8</f>
        <v>12.886495</v>
      </c>
      <c r="E32" s="64">
        <f>Fisheries!F8</f>
        <v>11.099478999999999</v>
      </c>
      <c r="F32" s="147" t="str">
        <f>Fisheries!G8</f>
        <v>N/A</v>
      </c>
      <c r="G32" s="147" t="str">
        <f>Fisheries!H8</f>
        <v>N/A</v>
      </c>
      <c r="H32" s="147" t="str">
        <f>Fisheries!I8</f>
        <v>N/A</v>
      </c>
      <c r="I32" s="147">
        <f>Fisheries!J8</f>
        <v>12.145753666666666</v>
      </c>
      <c r="J32" s="147" t="str">
        <f>Fisheries!K8</f>
        <v>N/A</v>
      </c>
      <c r="K32" s="64" t="str">
        <f>Fisheries!L8</f>
        <v>ABARES (2021f)</v>
      </c>
      <c r="L32" s="64" t="str">
        <f>Fisheries!M8</f>
        <v>Australian Bureau of Agricultural and Resource Economics (2023). Australian Fisheries and Aquaculture Statistics 2021. Last Accessed October 2023. https://www.agriculture.gov.au/abares/research-topics/fisheries/fisheries-and-aquaculture-statistics</v>
      </c>
    </row>
    <row r="33" spans="1:12" x14ac:dyDescent="0.25">
      <c r="A33" s="26" t="s">
        <v>43</v>
      </c>
      <c r="B33" s="27"/>
      <c r="C33" s="27"/>
      <c r="D33" s="27"/>
      <c r="E33" s="28"/>
      <c r="F33" s="28"/>
      <c r="G33" s="28"/>
      <c r="H33" s="144"/>
      <c r="I33" s="144"/>
      <c r="J33" s="144"/>
      <c r="K33" s="13"/>
      <c r="L33" s="13"/>
    </row>
    <row r="34" spans="1:12" x14ac:dyDescent="0.25">
      <c r="A34" s="13" t="s">
        <v>279</v>
      </c>
      <c r="B34" s="13"/>
      <c r="C34" s="13"/>
      <c r="D34" s="13"/>
      <c r="E34" s="29"/>
      <c r="F34" s="29"/>
      <c r="G34" s="29"/>
      <c r="H34" s="145"/>
      <c r="I34" s="145"/>
      <c r="J34" s="145"/>
      <c r="K34" s="13"/>
      <c r="L34" s="13"/>
    </row>
    <row r="35" spans="1:12" x14ac:dyDescent="0.25">
      <c r="A35" s="13" t="s">
        <v>280</v>
      </c>
      <c r="B35" s="13"/>
      <c r="C35" s="13"/>
      <c r="D35" s="13"/>
      <c r="E35" s="29"/>
      <c r="F35" s="29"/>
      <c r="G35" s="29"/>
      <c r="H35" s="29"/>
      <c r="I35" s="29"/>
      <c r="J35" s="29"/>
      <c r="K35" s="13"/>
      <c r="L35" s="13"/>
    </row>
    <row r="36" spans="1:12" x14ac:dyDescent="0.25">
      <c r="A36" s="13" t="s">
        <v>281</v>
      </c>
      <c r="B36" s="27"/>
      <c r="C36" s="27"/>
      <c r="D36" s="27"/>
      <c r="E36" s="28"/>
      <c r="F36" s="28"/>
      <c r="G36" s="28"/>
      <c r="H36" s="28"/>
      <c r="I36" s="28"/>
      <c r="J36" s="28"/>
      <c r="K36" s="13"/>
      <c r="L36" s="13"/>
    </row>
    <row r="37" spans="1:12" x14ac:dyDescent="0.25">
      <c r="A37" s="13" t="s">
        <v>271</v>
      </c>
      <c r="B37" s="27"/>
      <c r="C37" s="27"/>
      <c r="D37" s="27"/>
      <c r="E37" s="28"/>
      <c r="F37" s="28"/>
      <c r="G37" s="28"/>
      <c r="H37" s="28"/>
      <c r="I37" s="28"/>
      <c r="J37" s="28"/>
      <c r="K37" s="13"/>
      <c r="L37" s="13"/>
    </row>
    <row r="38" spans="1:12" x14ac:dyDescent="0.25">
      <c r="A38" s="141" t="s">
        <v>397</v>
      </c>
      <c r="B38" s="27"/>
      <c r="C38" s="27"/>
      <c r="D38" s="27"/>
      <c r="E38" s="28"/>
      <c r="F38" s="28"/>
      <c r="G38" s="28"/>
      <c r="H38" s="28"/>
      <c r="I38" s="28"/>
      <c r="J38" s="28"/>
      <c r="K38" s="13"/>
      <c r="L38" s="13"/>
    </row>
    <row r="39" spans="1:12" x14ac:dyDescent="0.25">
      <c r="A39" s="141" t="s">
        <v>381</v>
      </c>
      <c r="B39" s="27"/>
      <c r="C39" s="27"/>
      <c r="D39" s="27"/>
      <c r="E39" s="28"/>
      <c r="F39" s="28"/>
      <c r="G39" s="28"/>
      <c r="H39" s="28"/>
      <c r="I39" s="28"/>
      <c r="J39" s="28"/>
      <c r="K39" s="13"/>
      <c r="L39" s="13"/>
    </row>
    <row r="40" spans="1:12" x14ac:dyDescent="0.25">
      <c r="A40" s="13"/>
      <c r="B40" s="27"/>
      <c r="C40" s="27"/>
      <c r="D40" s="27"/>
      <c r="E40" s="28"/>
      <c r="F40" s="28"/>
      <c r="G40" s="28"/>
      <c r="H40" s="28"/>
      <c r="I40" s="28"/>
      <c r="J40" s="28"/>
      <c r="K40" s="13"/>
      <c r="L40" s="13"/>
    </row>
    <row r="41" spans="1:12" ht="48.75" x14ac:dyDescent="0.25">
      <c r="A41" s="5" t="s">
        <v>115</v>
      </c>
      <c r="B41" s="5" t="s">
        <v>44</v>
      </c>
      <c r="C41" s="5" t="str">
        <f>C1</f>
        <v>2018-19</v>
      </c>
      <c r="D41" s="5" t="str">
        <f>D1</f>
        <v>2019-20</v>
      </c>
      <c r="E41" s="5" t="str">
        <f>E1</f>
        <v>2020-21</v>
      </c>
      <c r="F41" s="5" t="str">
        <f>F1</f>
        <v>2021-22s</v>
      </c>
      <c r="G41" s="5" t="str">
        <f>+'Gross Value of Production'!G1</f>
        <v>2022-23e</v>
      </c>
      <c r="H41" s="19" t="s">
        <v>47</v>
      </c>
      <c r="I41" s="19" t="s">
        <v>48</v>
      </c>
      <c r="J41" s="19" t="s">
        <v>49</v>
      </c>
      <c r="K41" s="9" t="s">
        <v>50</v>
      </c>
      <c r="L41" s="9" t="s">
        <v>51</v>
      </c>
    </row>
    <row r="42" spans="1:12" x14ac:dyDescent="0.25">
      <c r="A42" s="9" t="s">
        <v>103</v>
      </c>
      <c r="B42" s="9"/>
      <c r="C42" s="20"/>
      <c r="D42" s="20"/>
      <c r="E42" s="57"/>
      <c r="F42" s="57"/>
      <c r="G42" s="57"/>
      <c r="H42" s="58"/>
      <c r="I42" s="58"/>
      <c r="J42" s="58"/>
      <c r="K42" s="11"/>
      <c r="L42" s="11"/>
    </row>
    <row r="43" spans="1:12" x14ac:dyDescent="0.25">
      <c r="A43" s="22" t="s">
        <v>7</v>
      </c>
      <c r="B43" s="6" t="s">
        <v>55</v>
      </c>
      <c r="C43" s="8">
        <f>+Wheat!D4</f>
        <v>2381.953</v>
      </c>
      <c r="D43" s="8">
        <f>+Wheat!E4</f>
        <v>2132.0160000000001</v>
      </c>
      <c r="E43" s="8">
        <f>+Wheat!F4</f>
        <v>4037.0010000000002</v>
      </c>
      <c r="F43" s="8">
        <f>+Wheat!G4</f>
        <v>3607.7049999999999</v>
      </c>
      <c r="G43" s="8">
        <f>+Wheat!H4</f>
        <v>3600</v>
      </c>
      <c r="H43" s="136">
        <f>+Wheat!I4</f>
        <v>-2.1357067720336742E-3</v>
      </c>
      <c r="I43" s="8">
        <f>+Wheat!J4</f>
        <v>3151.7350000000001</v>
      </c>
      <c r="J43" s="136">
        <f>+Wheat!K4</f>
        <v>0.14222801092096882</v>
      </c>
      <c r="K43" s="8" t="str">
        <f>+Wheat!L4</f>
        <v>ABARES (2023a)</v>
      </c>
      <c r="L43" s="8" t="str">
        <f>+Wheat!M4</f>
        <v>Australian Bureau of Agricultural and Resource Economics and Sciences (2023). Australian Crop Report, September 2023. Last accessed October 2023.</v>
      </c>
    </row>
    <row r="44" spans="1:12" x14ac:dyDescent="0.25">
      <c r="A44" s="22" t="s">
        <v>8</v>
      </c>
      <c r="B44" s="6" t="s">
        <v>55</v>
      </c>
      <c r="C44" s="8">
        <f>Barley!D4</f>
        <v>667.93100000000004</v>
      </c>
      <c r="D44" s="8">
        <f>Barley!E4</f>
        <v>885.40300000000002</v>
      </c>
      <c r="E44" s="8">
        <f>Barley!F4</f>
        <v>1370.9349999999999</v>
      </c>
      <c r="F44" s="8">
        <f>Barley!G4</f>
        <v>1158.588</v>
      </c>
      <c r="G44" s="8">
        <f>Barley!H4</f>
        <v>780</v>
      </c>
      <c r="H44" s="136">
        <f>Barley!I4</f>
        <v>-0.32676671948958558</v>
      </c>
      <c r="I44" s="8">
        <f>Barley!J4</f>
        <v>972.57140000000004</v>
      </c>
      <c r="J44" s="136">
        <f>Barley!K4</f>
        <v>-0.19800232661581452</v>
      </c>
      <c r="K44" s="8" t="str">
        <f>Barley!L4</f>
        <v>ABARES (2023a)</v>
      </c>
      <c r="L44" s="8" t="str">
        <f>Barley!M4</f>
        <v>Australian Bureau of Agricultural and Resource Economics and Sciences (2023). Australian Crop Report, September 2023. Last accessed October 2023.</v>
      </c>
    </row>
    <row r="45" spans="1:12" x14ac:dyDescent="0.25">
      <c r="A45" s="22" t="s">
        <v>9</v>
      </c>
      <c r="B45" s="6" t="s">
        <v>55</v>
      </c>
      <c r="C45" s="8">
        <f>Rice!D4</f>
        <v>6.7480000000000002</v>
      </c>
      <c r="D45" s="8">
        <f>Rice!E4</f>
        <v>4.2469999999999999</v>
      </c>
      <c r="E45" s="8">
        <f>Rice!F4</f>
        <v>43.906999999999996</v>
      </c>
      <c r="F45" s="8">
        <f>Rice!G4</f>
        <v>61.597000000000001</v>
      </c>
      <c r="G45" s="8">
        <f>Rice!H4</f>
        <v>51</v>
      </c>
      <c r="H45" s="136">
        <f>Rice!I4</f>
        <v>-0.17203759923372897</v>
      </c>
      <c r="I45" s="8">
        <f>Rice!J4</f>
        <v>33.4998</v>
      </c>
      <c r="J45" s="136">
        <f>Rice!K4</f>
        <v>0.52239714863969344</v>
      </c>
      <c r="K45" s="8" t="str">
        <f>Rice!L4</f>
        <v>ABARES (2023a)</v>
      </c>
      <c r="L45" s="8" t="str">
        <f>Rice!M4</f>
        <v>Australian Bureau of Agricultural and Resource Economics and Sciences (2023). Australian Crop Report, September 2023. Last accessed October 2023.</v>
      </c>
    </row>
    <row r="46" spans="1:12" x14ac:dyDescent="0.25">
      <c r="A46" s="22" t="s">
        <v>32</v>
      </c>
      <c r="B46" s="6" t="s">
        <v>55</v>
      </c>
      <c r="C46" s="8">
        <f>'Coarse Grains'!D4</f>
        <v>412.25800000000004</v>
      </c>
      <c r="D46" s="8">
        <f>'Coarse Grains'!E4</f>
        <v>304.36</v>
      </c>
      <c r="E46" s="8">
        <f>'Coarse Grains'!F4</f>
        <v>406.01599999999996</v>
      </c>
      <c r="F46" s="8">
        <f>'Coarse Grains'!G4</f>
        <v>451.77199999999999</v>
      </c>
      <c r="G46" s="8">
        <f>'Coarse Grains'!H4</f>
        <v>450</v>
      </c>
      <c r="H46" s="136">
        <f>'Coarse Grains'!I4</f>
        <v>-3.9223325040064205E-3</v>
      </c>
      <c r="I46" s="8">
        <f>'Coarse Grains'!J4</f>
        <v>404.88119999999998</v>
      </c>
      <c r="J46" s="136">
        <f>'Coarse Grains'!K4</f>
        <v>0.11143713267002764</v>
      </c>
      <c r="K46" s="8" t="str">
        <f>'Coarse Grains'!L4</f>
        <v>ABARES (2023a)</v>
      </c>
      <c r="L46" s="8" t="str">
        <f>'Coarse Grains'!M4</f>
        <v>Australian Bureau of Agricultural and Resource Economics and Sciences (2023). Australian Crop Report, September 2023. Last accessed October 2023.</v>
      </c>
    </row>
    <row r="47" spans="1:12" x14ac:dyDescent="0.25">
      <c r="A47" s="22" t="s">
        <v>10</v>
      </c>
      <c r="B47" s="6" t="s">
        <v>55</v>
      </c>
      <c r="C47" s="8">
        <f>Pulses!D4</f>
        <v>682.4</v>
      </c>
      <c r="D47" s="8">
        <f>Pulses!E4</f>
        <v>180.744</v>
      </c>
      <c r="E47" s="8">
        <f>Pulses!F4</f>
        <v>157.57</v>
      </c>
      <c r="F47" s="8">
        <f>Pulses!G4</f>
        <v>509.839</v>
      </c>
      <c r="G47" s="8">
        <f>Pulses!H4</f>
        <v>437</v>
      </c>
      <c r="H47" s="136">
        <f>Pulses!I4</f>
        <v>-0.14286666967415207</v>
      </c>
      <c r="I47" s="8">
        <f>Pulses!J4</f>
        <v>393.51059999999995</v>
      </c>
      <c r="J47" s="136">
        <f>Pulses!K4</f>
        <v>0.11051646385129166</v>
      </c>
      <c r="K47" s="8" t="str">
        <f>Pulses!L4</f>
        <v>ABARES (2023a)</v>
      </c>
      <c r="L47" s="8" t="str">
        <f>Pulses!M4</f>
        <v>Australian Bureau of Agricultural and Resource Economics and Sciences (2023). Australian Crop Report, September 2023. Last accessed October 2023.</v>
      </c>
    </row>
    <row r="48" spans="1:12" x14ac:dyDescent="0.25">
      <c r="A48" s="22" t="s">
        <v>11</v>
      </c>
      <c r="B48" s="6" t="s">
        <v>55</v>
      </c>
      <c r="C48" s="8">
        <f>Oilseeds!D4</f>
        <v>404.98500000000001</v>
      </c>
      <c r="D48" s="8">
        <f>Oilseeds!E4</f>
        <v>327.07600000000002</v>
      </c>
      <c r="E48" s="8">
        <f>Oilseeds!F4</f>
        <v>731</v>
      </c>
      <c r="F48" s="8">
        <f>Oilseeds!G4</f>
        <v>940.71</v>
      </c>
      <c r="G48" s="8">
        <f>Oilseeds!H4</f>
        <v>900</v>
      </c>
      <c r="H48" s="136">
        <f>Oilseeds!I4</f>
        <v>-4.3275823580061878E-2</v>
      </c>
      <c r="I48" s="8">
        <f>Oilseeds!J4</f>
        <v>660.75420000000008</v>
      </c>
      <c r="J48" s="136">
        <f>Oilseeds!K4</f>
        <v>0.36207987781235418</v>
      </c>
      <c r="K48" s="8" t="str">
        <f>Oilseeds!L4</f>
        <v>ABARES (2023a)</v>
      </c>
      <c r="L48" s="8" t="str">
        <f>Oilseeds!M4</f>
        <v>Australian Bureau of Agricultural and Resource Economics and Sciences (2023). Australian Crop Report, September 2023. Last accessed October 2023.</v>
      </c>
    </row>
    <row r="49" spans="1:12" x14ac:dyDescent="0.25">
      <c r="A49" s="22" t="s">
        <v>12</v>
      </c>
      <c r="B49" s="6" t="s">
        <v>55</v>
      </c>
      <c r="C49" s="8">
        <f>'Cotton Lint'!D4</f>
        <v>250.4</v>
      </c>
      <c r="D49" s="8">
        <f>'Cotton Lint'!E4</f>
        <v>54.628999999999998</v>
      </c>
      <c r="E49" s="8">
        <f>'Cotton Lint'!F4</f>
        <v>192.76</v>
      </c>
      <c r="F49" s="8">
        <f>'Cotton Lint'!G4</f>
        <v>406.459</v>
      </c>
      <c r="G49" s="8">
        <f>'Cotton Lint'!H4</f>
        <v>412.923</v>
      </c>
      <c r="H49" s="136">
        <f>'Cotton Lint'!I4</f>
        <v>1.5903203029087765E-2</v>
      </c>
      <c r="I49" s="8">
        <f>'Cotton Lint'!J4</f>
        <v>263.43420000000003</v>
      </c>
      <c r="J49" s="136">
        <f>'Cotton Lint'!K4</f>
        <v>0.56746162798907651</v>
      </c>
      <c r="K49" s="8" t="str">
        <f>'Cotton Lint'!L4</f>
        <v>ABARES (2023a)</v>
      </c>
      <c r="L49" s="8" t="str">
        <f>'Cotton Lint'!M4</f>
        <v>Australian Bureau of Agricultural and Resource Economics and Sciences (2023). Australian Crop Report, September 2023. Last accessed October 2023.</v>
      </c>
    </row>
    <row r="50" spans="1:12" x14ac:dyDescent="0.25">
      <c r="A50" s="22" t="s">
        <v>13</v>
      </c>
      <c r="B50" s="6" t="s">
        <v>55</v>
      </c>
      <c r="C50" s="8">
        <f>Sugarcane!D4</f>
        <v>14.353999999999999</v>
      </c>
      <c r="D50" s="8">
        <f>Sugarcane!E4</f>
        <v>14.712</v>
      </c>
      <c r="E50" s="8">
        <f>Sugarcane!F4</f>
        <v>14.712</v>
      </c>
      <c r="F50" s="8">
        <f>Sugarcane!G4</f>
        <v>13.923</v>
      </c>
      <c r="G50" s="8">
        <f>Sugarcane!H4</f>
        <v>12.651</v>
      </c>
      <c r="H50" s="136">
        <f>Sugarcane!I4</f>
        <v>-9.1359620771385486E-2</v>
      </c>
      <c r="I50" s="8">
        <f>Sugarcane!J4</f>
        <v>14.070400000000001</v>
      </c>
      <c r="J50" s="136">
        <f>Sugarcane!K4</f>
        <v>-0.10087843984534917</v>
      </c>
      <c r="K50" s="8" t="str">
        <f>Sugarcane!L4</f>
        <v>ASMC (2023)</v>
      </c>
      <c r="L50" s="8" t="str">
        <f>Sugarcane!M4</f>
        <v>Australian Sugar Milling Council (2023). Sugar cane statistics. Last accessed October 2023.</v>
      </c>
    </row>
    <row r="51" spans="1:12" x14ac:dyDescent="0.25">
      <c r="A51" s="22" t="s">
        <v>282</v>
      </c>
      <c r="B51" s="6" t="s">
        <v>55</v>
      </c>
      <c r="C51" s="8"/>
      <c r="D51" s="65"/>
      <c r="E51" s="63"/>
      <c r="F51" s="63"/>
      <c r="G51" s="63"/>
      <c r="H51" s="63"/>
      <c r="I51" s="63"/>
      <c r="J51" s="63"/>
      <c r="K51" s="63"/>
      <c r="L51" s="63"/>
    </row>
    <row r="52" spans="1:12" x14ac:dyDescent="0.25">
      <c r="A52" s="9" t="s">
        <v>22</v>
      </c>
      <c r="B52" s="9"/>
      <c r="C52" s="10"/>
      <c r="D52" s="10"/>
      <c r="E52" s="62"/>
      <c r="F52" s="62"/>
      <c r="G52" s="62"/>
      <c r="H52" s="62"/>
      <c r="I52" s="62"/>
      <c r="J52" s="62"/>
      <c r="K52" s="62"/>
      <c r="L52" s="62"/>
    </row>
    <row r="53" spans="1:12" x14ac:dyDescent="0.25">
      <c r="A53" s="22" t="s">
        <v>112</v>
      </c>
      <c r="B53" s="6" t="s">
        <v>55</v>
      </c>
      <c r="C53" s="8">
        <f>+Forestry!D7</f>
        <v>87.1</v>
      </c>
      <c r="D53" s="8">
        <f>+Forestry!E7</f>
        <v>55.7</v>
      </c>
      <c r="E53" s="8">
        <f>+Forestry!F7</f>
        <v>55.0320347480503</v>
      </c>
      <c r="F53" s="8">
        <f>+Forestry!G7</f>
        <v>54.989044953797702</v>
      </c>
      <c r="G53" s="8" t="str">
        <f>+Forestry!H7</f>
        <v>N/A</v>
      </c>
      <c r="H53" s="8" t="str">
        <f>+Forestry!I7</f>
        <v>N/A</v>
      </c>
      <c r="I53" s="8">
        <f>+Forestry!J7</f>
        <v>63.205269925462005</v>
      </c>
      <c r="J53" s="8" t="str">
        <f>+Forestry!K7</f>
        <v>N/A</v>
      </c>
      <c r="K53" s="8" t="str">
        <f>+Forestry!L7</f>
        <v>ABARES (2023c)</v>
      </c>
      <c r="L53" s="8" t="str">
        <f>+Forestry!M7</f>
        <v>Australian Bureau of Agricultural and Resource Economics and Sciences (2022). Australian Forest and Wood Product Statistics September – December 2022. Last accessed October 2023.</v>
      </c>
    </row>
    <row r="54" spans="1:12" x14ac:dyDescent="0.25">
      <c r="A54" s="22" t="s">
        <v>113</v>
      </c>
      <c r="B54" s="6" t="s">
        <v>55</v>
      </c>
      <c r="C54" s="8">
        <f>Forestry!D6</f>
        <v>306</v>
      </c>
      <c r="D54" s="8">
        <f>Forestry!E6</f>
        <v>304</v>
      </c>
      <c r="E54" s="8">
        <f>Forestry!F6</f>
        <v>292.49563330686499</v>
      </c>
      <c r="F54" s="8">
        <f>Forestry!G6</f>
        <v>291.78440830115699</v>
      </c>
      <c r="G54" s="8" t="str">
        <f>Forestry!H6</f>
        <v>N/A</v>
      </c>
      <c r="H54" s="8" t="str">
        <f>Forestry!I6</f>
        <v>N/A</v>
      </c>
      <c r="I54" s="8">
        <f>Forestry!J6</f>
        <v>298.57001040200549</v>
      </c>
      <c r="J54" s="8" t="str">
        <f>Forestry!K6</f>
        <v>N/A</v>
      </c>
      <c r="K54" s="8" t="str">
        <f>Forestry!L6</f>
        <v>ABARES (2023c)</v>
      </c>
      <c r="L54" s="8" t="str">
        <f>Forestry!M6</f>
        <v>Australian Bureau of Agricultural and Resource Economics and Sciences (2022). Australian Forest and Wood Product Statistics September – December 2022. Last accessed October 2023.</v>
      </c>
    </row>
    <row r="55" spans="1:12" x14ac:dyDescent="0.25">
      <c r="A55" s="26" t="s">
        <v>43</v>
      </c>
      <c r="B55" s="27"/>
      <c r="C55" s="27"/>
      <c r="D55" s="27"/>
      <c r="E55" s="28"/>
      <c r="F55" s="28"/>
      <c r="G55" s="28"/>
      <c r="H55" s="28"/>
      <c r="I55" s="28"/>
      <c r="J55" s="28"/>
      <c r="K55" s="13"/>
      <c r="L55" s="13"/>
    </row>
    <row r="56" spans="1:12" x14ac:dyDescent="0.25">
      <c r="A56" s="13" t="s">
        <v>279</v>
      </c>
      <c r="B56" s="27"/>
      <c r="C56" s="27"/>
      <c r="D56" s="27"/>
      <c r="E56" s="28"/>
      <c r="F56" s="28"/>
      <c r="G56" s="28"/>
      <c r="H56" s="28"/>
      <c r="I56" s="28"/>
      <c r="J56" s="28"/>
      <c r="K56" s="13"/>
      <c r="L56" s="13"/>
    </row>
    <row r="57" spans="1:12" x14ac:dyDescent="0.25">
      <c r="A57" s="13" t="s">
        <v>271</v>
      </c>
      <c r="B57" s="27"/>
      <c r="C57" s="27"/>
      <c r="D57" s="27"/>
      <c r="E57" s="28"/>
      <c r="F57" s="28"/>
      <c r="G57" s="28"/>
      <c r="H57" s="28"/>
      <c r="I57" s="28"/>
      <c r="J57" s="28"/>
      <c r="K57" s="13"/>
      <c r="L57" s="13"/>
    </row>
    <row r="58" spans="1:12" x14ac:dyDescent="0.25">
      <c r="A58" s="27"/>
      <c r="B58" s="27"/>
      <c r="C58" s="27"/>
      <c r="D58" s="27"/>
      <c r="E58" s="28"/>
      <c r="F58" s="28"/>
      <c r="G58" s="28"/>
      <c r="H58" s="28"/>
      <c r="I58" s="28"/>
      <c r="J58" s="28"/>
      <c r="K58" s="13"/>
      <c r="L58" s="13"/>
    </row>
    <row r="59" spans="1:12" x14ac:dyDescent="0.25">
      <c r="A59" s="27"/>
      <c r="B59" s="27"/>
      <c r="C59" s="27"/>
      <c r="D59" s="27"/>
      <c r="E59" s="28"/>
      <c r="F59" s="28"/>
      <c r="G59" s="28"/>
      <c r="H59" s="28"/>
      <c r="I59" s="28"/>
      <c r="J59" s="28"/>
      <c r="K59" s="13"/>
      <c r="L59" s="13"/>
    </row>
    <row r="60" spans="1:12" ht="48.75" x14ac:dyDescent="0.25">
      <c r="A60" s="5" t="s">
        <v>116</v>
      </c>
      <c r="B60" s="5" t="s">
        <v>44</v>
      </c>
      <c r="C60" s="5" t="str">
        <f t="shared" ref="C60:G60" si="3">C1</f>
        <v>2018-19</v>
      </c>
      <c r="D60" s="5" t="str">
        <f t="shared" si="3"/>
        <v>2019-20</v>
      </c>
      <c r="E60" s="5" t="str">
        <f t="shared" si="3"/>
        <v>2020-21</v>
      </c>
      <c r="F60" s="5" t="str">
        <f t="shared" si="3"/>
        <v>2021-22s</v>
      </c>
      <c r="G60" s="5" t="str">
        <f t="shared" si="3"/>
        <v>2022-23e</v>
      </c>
      <c r="H60" s="19" t="s">
        <v>47</v>
      </c>
      <c r="I60" s="19" t="s">
        <v>48</v>
      </c>
      <c r="J60" s="19" t="s">
        <v>49</v>
      </c>
      <c r="K60" s="9" t="s">
        <v>50</v>
      </c>
      <c r="L60" s="9" t="s">
        <v>51</v>
      </c>
    </row>
    <row r="61" spans="1:12" x14ac:dyDescent="0.25">
      <c r="A61" s="15" t="s">
        <v>110</v>
      </c>
      <c r="B61" s="9"/>
      <c r="C61" s="10"/>
      <c r="D61" s="10"/>
      <c r="E61" s="62"/>
      <c r="F61" s="62"/>
      <c r="G61" s="62"/>
      <c r="H61" s="58"/>
      <c r="I61" s="58"/>
      <c r="J61" s="58"/>
      <c r="K61" s="25"/>
      <c r="L61" s="25"/>
    </row>
    <row r="62" spans="1:12" x14ac:dyDescent="0.25">
      <c r="A62" s="22" t="s">
        <v>39</v>
      </c>
      <c r="B62" s="6" t="s">
        <v>76</v>
      </c>
      <c r="C62" s="8">
        <f>Beef!D5</f>
        <v>3780.3457799999996</v>
      </c>
      <c r="D62" s="8">
        <f>Beef!E5</f>
        <v>3602.6326600000002</v>
      </c>
      <c r="E62" s="8">
        <f>Beef!F5</f>
        <v>4147.5947799999994</v>
      </c>
      <c r="F62" s="8">
        <f>Beef!G5</f>
        <v>4363.2188361374992</v>
      </c>
      <c r="G62" s="8" t="str">
        <f>Beef!H5</f>
        <v>N/A</v>
      </c>
      <c r="H62" s="136">
        <f>Beef!I4</f>
        <v>-3.4125337642936238E-3</v>
      </c>
      <c r="I62" s="8">
        <f>Beef!J4</f>
        <v>320.3963</v>
      </c>
      <c r="J62" s="136">
        <f>Beef!K4</f>
        <v>1.7676390145579202E-2</v>
      </c>
      <c r="K62" s="8" t="str">
        <f>Beef!L4</f>
        <v>MLA (2023a)</v>
      </c>
      <c r="L62" s="8" t="str">
        <f>Beef!M4</f>
        <v>Meat and Livestock Australia (2023). Market Information and Statistics Database Custom Report. Last accessed October 2023.</v>
      </c>
    </row>
    <row r="63" spans="1:12" x14ac:dyDescent="0.25">
      <c r="A63" s="22" t="s">
        <v>117</v>
      </c>
      <c r="B63" s="6" t="s">
        <v>118</v>
      </c>
      <c r="C63" s="64">
        <f>'Sheep Meat'!D4</f>
        <v>22.36641625</v>
      </c>
      <c r="D63" s="64">
        <f>'Sheep Meat'!E4</f>
        <v>20.371834920000001</v>
      </c>
      <c r="E63" s="64">
        <f>'Sheep Meat'!F4</f>
        <v>24.71153365</v>
      </c>
      <c r="F63" s="64">
        <f>'Sheep Meat'!G4</f>
        <v>27.148736080838219</v>
      </c>
      <c r="G63" s="8" t="str">
        <f>'Sheep Meat'!H4</f>
        <v>N/A</v>
      </c>
      <c r="H63" s="136">
        <f>'Sheep Meat'!I3</f>
        <v>-5.6154588766320512E-2</v>
      </c>
      <c r="I63" s="8">
        <f>'Sheep Meat'!J3</f>
        <v>1321.8225738946837</v>
      </c>
      <c r="J63" s="136">
        <f>'Sheep Meat'!K3</f>
        <v>6.0215477391423633E-2</v>
      </c>
      <c r="K63" s="8" t="str">
        <f>'Sheep Meat'!L3</f>
        <v>ABS (2023)</v>
      </c>
      <c r="L63" s="8" t="str">
        <f>'Sheep Meat'!M3</f>
        <v>Australian Bureau of Statistics (2023). 7503.0 Value of Agricultural Commodities Produced, Australia 2021-22. Last accessed October 2023. 
&lt;http://www.abs.gov.au/ausstats/abs@.nsf/mf/7503.0&gt;</v>
      </c>
    </row>
    <row r="64" spans="1:12" x14ac:dyDescent="0.25">
      <c r="A64" s="22" t="s">
        <v>119</v>
      </c>
      <c r="B64" s="6" t="s">
        <v>118</v>
      </c>
      <c r="C64" s="64">
        <f>'Sheep Meat'!D5</f>
        <v>5.3066032699999992</v>
      </c>
      <c r="D64" s="64" t="str">
        <f>'Sheep Meat'!E5</f>
        <v>N/A</v>
      </c>
      <c r="E64" s="64">
        <f>'Sheep Meat'!F5</f>
        <v>6.2350110700000005</v>
      </c>
      <c r="F64" s="64" t="str">
        <f>'Sheep Meat'!G5</f>
        <v>N/A</v>
      </c>
      <c r="G64" s="8" t="str">
        <f>'Sheep Meat'!H5</f>
        <v>N/A</v>
      </c>
      <c r="H64" s="136" t="str">
        <f>'Sheep Meat'!I4</f>
        <v>N/A</v>
      </c>
      <c r="I64" s="8">
        <f>'Sheep Meat'!J4</f>
        <v>23.649630225209552</v>
      </c>
      <c r="J64" s="136" t="str">
        <f>'Sheep Meat'!K4</f>
        <v>N/A</v>
      </c>
      <c r="K64" s="8" t="str">
        <f>'Sheep Meat'!L4</f>
        <v>ABS (2023C)</v>
      </c>
      <c r="L64" s="8" t="str">
        <f>'Sheep Meat'!M4</f>
        <v>Australian Bureau of Statistics (2023). 7121.0 Agricultural Commodities, Australia 2021-22. Last accessed October 2023.</v>
      </c>
    </row>
    <row r="65" spans="1:12" x14ac:dyDescent="0.25">
      <c r="A65" s="22" t="s">
        <v>120</v>
      </c>
      <c r="B65" s="6" t="s">
        <v>118</v>
      </c>
      <c r="C65" s="64">
        <f>Wool!D4</f>
        <v>22.36641625</v>
      </c>
      <c r="D65" s="64">
        <f>Wool!E4</f>
        <v>20.371834920000001</v>
      </c>
      <c r="E65" s="64">
        <f>Wool!F4</f>
        <v>24.71153365</v>
      </c>
      <c r="F65" s="64">
        <f>Wool!G4</f>
        <v>27.148736080838219</v>
      </c>
      <c r="G65" s="8" t="str">
        <f>Wool!H4</f>
        <v>N/A</v>
      </c>
      <c r="H65" s="136" t="str">
        <f>Wool!I4</f>
        <v>N/A</v>
      </c>
      <c r="I65" s="8">
        <f>Wool!J4</f>
        <v>23.649630225209552</v>
      </c>
      <c r="J65" s="136" t="str">
        <f>Wool!K4</f>
        <v>N/A</v>
      </c>
      <c r="K65" s="8" t="str">
        <f>Wool!L4</f>
        <v>ABS (2023C)</v>
      </c>
      <c r="L65" s="8" t="str">
        <f>Wool!M4</f>
        <v>Australian Bureau of Statistics (2023). 7121.0 Agricultural Commodities, Australia 2021-22. Last accessed October 2023.</v>
      </c>
    </row>
    <row r="66" spans="1:12" x14ac:dyDescent="0.25">
      <c r="A66" s="22" t="s">
        <v>121</v>
      </c>
      <c r="B66" s="6" t="s">
        <v>76</v>
      </c>
      <c r="C66" s="8">
        <f>Pork!D4</f>
        <v>443.42899999999997</v>
      </c>
      <c r="D66" s="8">
        <f>Pork!E4</f>
        <v>435.38722999999999</v>
      </c>
      <c r="E66" s="8">
        <f>Pork!F4</f>
        <v>543.33548999999994</v>
      </c>
      <c r="F66" s="8" t="str">
        <f>Pork!G4</f>
        <v>N/A</v>
      </c>
      <c r="G66" s="8" t="str">
        <f>Pork!H4</f>
        <v>N/A</v>
      </c>
      <c r="H66" s="136">
        <f>Pork!I3</f>
        <v>7.3503180007318702E-2</v>
      </c>
      <c r="I66" s="8">
        <f>Pork!J3</f>
        <v>233.50735668934772</v>
      </c>
      <c r="J66" s="136">
        <f>Pork!K3</f>
        <v>5.5559394406226481E-2</v>
      </c>
      <c r="K66" s="8" t="str">
        <f>Pork!L3</f>
        <v>ABS (2023)</v>
      </c>
      <c r="L66" s="8" t="str">
        <f>Pork!M3</f>
        <v>Australian Bureau of Statistics (2023). 7503.0 Value of Agricultural Commodities Produced, Australia 2021-22. Last accessed October 2023. 
&lt;http://www.abs.gov.au/ausstats/abs@.nsf/mf/7503.0&gt;</v>
      </c>
    </row>
    <row r="67" spans="1:12" x14ac:dyDescent="0.25">
      <c r="A67" s="22" t="s">
        <v>122</v>
      </c>
      <c r="B67" s="6" t="s">
        <v>118</v>
      </c>
      <c r="C67" s="38">
        <f>Poultry!D4</f>
        <v>34.195003540000002</v>
      </c>
      <c r="D67" s="38">
        <f>Poultry!E4</f>
        <v>31.329489329999998</v>
      </c>
      <c r="E67" s="38">
        <f>Poultry!F4</f>
        <v>39.149834859999999</v>
      </c>
      <c r="F67" s="38" t="str">
        <f>Poultry!G4</f>
        <v>N/A</v>
      </c>
      <c r="G67" s="8" t="str">
        <f>Poultry!H4</f>
        <v>N/A</v>
      </c>
      <c r="H67" s="136">
        <f>Poultry!I3</f>
        <v>9.7166014386345534E-2</v>
      </c>
      <c r="I67" s="8">
        <f>Poultry!J3</f>
        <v>830.46457624601919</v>
      </c>
      <c r="J67" s="136">
        <f>Poultry!K3</f>
        <v>0.10479144732425416</v>
      </c>
      <c r="K67" s="8" t="str">
        <f>Poultry!L3</f>
        <v>ABS (2023)</v>
      </c>
      <c r="L67" s="8" t="str">
        <f>Poultry!M3</f>
        <v>Australian Bureau of Statistics (2023). 7503.0 Value of Agricultural Commodities Produced, Australia 2021-22. Last accessed October 2023. 
&lt;http://www.abs.gov.au/ausstats/abs@.nsf/mf/7503.0&gt;</v>
      </c>
    </row>
    <row r="68" spans="1:12" x14ac:dyDescent="0.25">
      <c r="A68" s="22" t="s">
        <v>123</v>
      </c>
      <c r="B68" s="6" t="s">
        <v>118</v>
      </c>
      <c r="C68" s="38">
        <f>Eggs!D4</f>
        <v>6.6055079000000001</v>
      </c>
      <c r="D68" s="38">
        <f>Eggs!E4</f>
        <v>5.6959493599999993</v>
      </c>
      <c r="E68" s="38">
        <f>Eggs!F4</f>
        <v>4.7878188899999996</v>
      </c>
      <c r="F68" s="38" t="str">
        <f>Eggs!G4</f>
        <v>N/A</v>
      </c>
      <c r="G68" s="8" t="str">
        <f>Eggs!H4</f>
        <v>N/A</v>
      </c>
      <c r="H68" s="136">
        <f>Eggs!I3</f>
        <v>0.12677826068044773</v>
      </c>
      <c r="I68" s="8">
        <f>Eggs!J3</f>
        <v>311.13469519554508</v>
      </c>
      <c r="J68" s="136">
        <f>Eggs!K3</f>
        <v>0.13827053490037056</v>
      </c>
      <c r="K68" s="8" t="str">
        <f>Eggs!L3</f>
        <v>ABS (2023)</v>
      </c>
      <c r="L68" s="8" t="str">
        <f>Eggs!M3</f>
        <v>Australian Bureau of Statistics (2023). 7503.0 Value of Agricultural Commodities Produced, Australia 2021-22. Last accessed October 2023. 
&lt;http://www.abs.gov.au/ausstats/abs@.nsf/mf/7503.0&gt;</v>
      </c>
    </row>
    <row r="69" spans="1:12" x14ac:dyDescent="0.25">
      <c r="A69" s="22" t="s">
        <v>124</v>
      </c>
      <c r="B69" s="6" t="s">
        <v>76</v>
      </c>
      <c r="C69" s="8">
        <f>Milk!D4</f>
        <v>262.70961</v>
      </c>
      <c r="D69" s="8">
        <f>Milk!E4</f>
        <v>254.40582000000001</v>
      </c>
      <c r="E69" s="8">
        <f>Milk!F4</f>
        <v>282.65911999999997</v>
      </c>
      <c r="F69" s="8" t="str">
        <f>Milk!G4</f>
        <v>N/A</v>
      </c>
      <c r="G69" s="8" t="str">
        <f>Milk!H4</f>
        <v>N/A</v>
      </c>
      <c r="H69" s="136">
        <f>Milk!I3</f>
        <v>0.17531912037914688</v>
      </c>
      <c r="I69" s="8">
        <f>Milk!J3</f>
        <v>680.75328615742501</v>
      </c>
      <c r="J69" s="136">
        <f>Milk!K3</f>
        <v>0.18590458204283822</v>
      </c>
      <c r="K69" s="8" t="str">
        <f>Milk!L3</f>
        <v>ABS (2023)</v>
      </c>
      <c r="L69" s="8" t="str">
        <f>Milk!M3</f>
        <v>Australian Bureau of Statistics (2023). 7503.0 Value of Agricultural Commodities Produced, Australia 2021-22. Last accessed October 2023. 
&lt;http://www.abs.gov.au/ausstats/abs@.nsf/mf/7503.0&gt;</v>
      </c>
    </row>
    <row r="70" spans="1:12" x14ac:dyDescent="0.25">
      <c r="A70" s="22" t="s">
        <v>125</v>
      </c>
      <c r="B70" s="6" t="s">
        <v>76</v>
      </c>
      <c r="C70" s="8">
        <f>Milk!D5</f>
        <v>148.55000000000001</v>
      </c>
      <c r="D70" s="8">
        <f>Milk!E5</f>
        <v>144.14183</v>
      </c>
      <c r="E70" s="8">
        <f>Milk!F5</f>
        <v>158.85482999999999</v>
      </c>
      <c r="F70" s="8" t="str">
        <f>Milk!G5</f>
        <v>N/A</v>
      </c>
      <c r="G70" s="8" t="str">
        <f>Milk!H5</f>
        <v>N/A</v>
      </c>
      <c r="H70" s="136" t="str">
        <f>Milk!I4</f>
        <v>N/A</v>
      </c>
      <c r="I70" s="8">
        <f>Milk!J4</f>
        <v>266.59151666666668</v>
      </c>
      <c r="J70" s="136" t="str">
        <f>Milk!K4</f>
        <v>N/A</v>
      </c>
      <c r="K70" s="8" t="str">
        <f>Milk!L4</f>
        <v>ABS (2023C)</v>
      </c>
      <c r="L70" s="8" t="str">
        <f>Milk!M4</f>
        <v>Australian Bureau of Statistics (2023). 7121.0 Agricultural Commodities, Australia 2021-22. Last accessed October 2023.</v>
      </c>
    </row>
    <row r="71" spans="1:12" x14ac:dyDescent="0.25">
      <c r="A71" s="26" t="s">
        <v>43</v>
      </c>
      <c r="B71" s="27"/>
      <c r="C71" s="27"/>
      <c r="D71" s="27"/>
      <c r="E71" s="28"/>
      <c r="F71" s="28"/>
      <c r="G71" s="28"/>
      <c r="H71" s="28"/>
      <c r="I71" s="28"/>
      <c r="J71" s="28"/>
      <c r="K71" s="13"/>
      <c r="L71" s="13"/>
    </row>
    <row r="72" spans="1:12" x14ac:dyDescent="0.25">
      <c r="A72" s="13" t="s">
        <v>271</v>
      </c>
      <c r="B72" s="27"/>
      <c r="C72" s="27"/>
      <c r="D72" s="27"/>
      <c r="E72" s="28"/>
      <c r="F72" s="28"/>
      <c r="G72" s="28"/>
      <c r="H72" s="28"/>
      <c r="I72" s="28"/>
      <c r="J72" s="28"/>
      <c r="K72" s="13"/>
      <c r="L72" s="13"/>
    </row>
  </sheetData>
  <conditionalFormatting sqref="A42:B52 A28:B29 C42:L54 A12:J27 A2:L11 A30:J32 A61:L70 F12:L17 D28:J29 F29:L32">
    <cfRule type="expression" dxfId="74" priority="9">
      <formula>MOD(ROW(),2)=0</formula>
    </cfRule>
  </conditionalFormatting>
  <conditionalFormatting sqref="B12:B16">
    <cfRule type="expression" dxfId="73" priority="8">
      <formula>MOD(ROW(),2)=0</formula>
    </cfRule>
  </conditionalFormatting>
  <conditionalFormatting sqref="A53:A54">
    <cfRule type="expression" dxfId="72" priority="7">
      <formula>MOD(ROW(),2)=0</formula>
    </cfRule>
  </conditionalFormatting>
  <conditionalFormatting sqref="B53:B54">
    <cfRule type="expression" dxfId="71" priority="6">
      <formula>MOD(ROW(),2)=0</formula>
    </cfRule>
  </conditionalFormatting>
  <conditionalFormatting sqref="B53:B54">
    <cfRule type="expression" dxfId="70" priority="5">
      <formula>MOD(ROW(),2)=0</formula>
    </cfRule>
  </conditionalFormatting>
  <conditionalFormatting sqref="I43:I52">
    <cfRule type="expression" dxfId="69" priority="4">
      <formula>MOD(ROW(),2)=0</formula>
    </cfRule>
  </conditionalFormatting>
  <conditionalFormatting sqref="I53:I54">
    <cfRule type="expression" dxfId="68" priority="3">
      <formula>MOD(ROW(),2)=0</formula>
    </cfRule>
  </conditionalFormatting>
  <conditionalFormatting sqref="C28:C29">
    <cfRule type="expression" dxfId="67" priority="2">
      <formula>MOD(ROW(),2)=0</formula>
    </cfRule>
  </conditionalFormatting>
  <conditionalFormatting sqref="K12:L32">
    <cfRule type="expression" dxfId="66" priority="1">
      <formula>MOD(ROW(),2)=0</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B49E0-1721-46C5-8FB6-C26D53F498F2}">
  <sheetPr codeName="Sheet24"/>
  <dimension ref="A1:L33"/>
  <sheetViews>
    <sheetView workbookViewId="0">
      <selection activeCell="A33" sqref="A33"/>
    </sheetView>
  </sheetViews>
  <sheetFormatPr defaultRowHeight="15" x14ac:dyDescent="0.25"/>
  <cols>
    <col min="1" max="1" width="39.28515625" customWidth="1"/>
    <col min="3" max="4" width="9" bestFit="1" customWidth="1"/>
    <col min="5" max="5" width="9.7109375" bestFit="1" customWidth="1"/>
    <col min="6" max="7" width="9" bestFit="1" customWidth="1"/>
  </cols>
  <sheetData>
    <row r="1" spans="1:12" ht="48.75" x14ac:dyDescent="0.25">
      <c r="A1" s="5" t="s">
        <v>126</v>
      </c>
      <c r="B1" s="5" t="s">
        <v>44</v>
      </c>
      <c r="C1" s="5" t="str">
        <f>+'Gross Value of Production'!C1</f>
        <v>2018-19</v>
      </c>
      <c r="D1" s="5" t="str">
        <f>+'Gross Value of Production'!D1</f>
        <v>2019-20</v>
      </c>
      <c r="E1" s="5" t="str">
        <f>+'Gross Value of Production'!E1</f>
        <v>2020-21</v>
      </c>
      <c r="F1" s="5" t="str">
        <f>+'Gross Value of Production'!F1</f>
        <v>2021-22s</v>
      </c>
      <c r="G1" s="5" t="str">
        <f>+'Gross Value of Production'!G1</f>
        <v>2022-23e</v>
      </c>
      <c r="H1" s="40" t="s">
        <v>47</v>
      </c>
      <c r="I1" s="19" t="s">
        <v>48</v>
      </c>
      <c r="J1" s="40" t="s">
        <v>49</v>
      </c>
      <c r="K1" s="9" t="s">
        <v>50</v>
      </c>
      <c r="L1" s="9" t="s">
        <v>51</v>
      </c>
    </row>
    <row r="2" spans="1:12" x14ac:dyDescent="0.25">
      <c r="A2" s="9" t="s">
        <v>127</v>
      </c>
      <c r="B2" s="9"/>
      <c r="C2" s="20"/>
      <c r="D2" s="20"/>
      <c r="E2" s="41"/>
      <c r="F2" s="41"/>
      <c r="G2" s="41"/>
      <c r="H2" s="42"/>
      <c r="I2" s="42"/>
      <c r="J2" s="42"/>
      <c r="K2" s="11"/>
      <c r="L2" s="11"/>
    </row>
    <row r="3" spans="1:12" x14ac:dyDescent="0.25">
      <c r="A3" s="22" t="s">
        <v>7</v>
      </c>
      <c r="B3" s="6" t="s">
        <v>61</v>
      </c>
      <c r="C3" s="43">
        <f>Wheat!D7</f>
        <v>351.59199999999998</v>
      </c>
      <c r="D3" s="43">
        <f>Wheat!E7</f>
        <v>341.69600000000003</v>
      </c>
      <c r="E3" s="43">
        <f>Wheat!F7</f>
        <v>308.589</v>
      </c>
      <c r="F3" s="43">
        <f>Wheat!G7</f>
        <v>362.72</v>
      </c>
      <c r="G3" s="43">
        <f>Wheat!H7</f>
        <v>395.61099999999999</v>
      </c>
      <c r="H3" s="44">
        <f>Wheat!I7</f>
        <v>9.0678760476400333E-2</v>
      </c>
      <c r="I3" s="45">
        <f>Wheat!J7</f>
        <v>352.04160000000002</v>
      </c>
      <c r="J3" s="44">
        <f>Wheat!K7</f>
        <v>0.12376207811804041</v>
      </c>
      <c r="K3" s="25" t="str">
        <f>Wheat!L7</f>
        <v>ABARES (2023b)</v>
      </c>
      <c r="L3" s="25" t="str">
        <f>Wheat!M7</f>
        <v>Australian Bureau of Agricultural and Resource Economics and Sciences (2023). Agricultural Commodities, September 2023. Last accessed October 2023.</v>
      </c>
    </row>
    <row r="4" spans="1:12" x14ac:dyDescent="0.25">
      <c r="A4" s="22" t="s">
        <v>8</v>
      </c>
      <c r="B4" s="6" t="s">
        <v>61</v>
      </c>
      <c r="C4" s="43">
        <f>Barley!D7</f>
        <v>341.726</v>
      </c>
      <c r="D4" s="43">
        <f>Barley!E7</f>
        <v>296.86599999999999</v>
      </c>
      <c r="E4" s="43">
        <f>Barley!F7</f>
        <v>254.52799999999999</v>
      </c>
      <c r="F4" s="43">
        <f>Barley!G7</f>
        <v>303.08699999999999</v>
      </c>
      <c r="G4" s="43">
        <f>Barley!H7</f>
        <v>317.58600000000001</v>
      </c>
      <c r="H4" s="44">
        <f>Barley!I7</f>
        <v>4.7837749557057885E-2</v>
      </c>
      <c r="I4" s="45">
        <f>Barley!J7</f>
        <v>302.7586</v>
      </c>
      <c r="J4" s="44">
        <f>Barley!K7</f>
        <v>4.897433136498841E-2</v>
      </c>
      <c r="K4" s="25" t="str">
        <f>Barley!L7</f>
        <v>ABARES (2023b)</v>
      </c>
      <c r="L4" s="25" t="str">
        <f>Barley!M7</f>
        <v>Australian Bureau of Agricultural and Resource Economics and Sciences (2023). Agricultural Commodities, September 2023. Last accessed October 2023.</v>
      </c>
    </row>
    <row r="5" spans="1:12" x14ac:dyDescent="0.25">
      <c r="A5" s="22" t="s">
        <v>9</v>
      </c>
      <c r="B5" s="6" t="s">
        <v>61</v>
      </c>
      <c r="C5" s="43">
        <f>Rice!D7</f>
        <v>513.37</v>
      </c>
      <c r="D5" s="43">
        <f>Rice!E7</f>
        <v>769.2</v>
      </c>
      <c r="E5" s="43">
        <f>Rice!F7</f>
        <v>412.29</v>
      </c>
      <c r="F5" s="43">
        <f>Rice!G7</f>
        <v>397.822</v>
      </c>
      <c r="G5" s="43">
        <f>Rice!H7</f>
        <v>425</v>
      </c>
      <c r="H5" s="44">
        <f>Rice!I7</f>
        <v>6.8316985988708501E-2</v>
      </c>
      <c r="I5" s="45">
        <f>Rice!J7</f>
        <v>503.53640000000007</v>
      </c>
      <c r="J5" s="44">
        <f>Rice!K7</f>
        <v>-0.15596965780428196</v>
      </c>
      <c r="K5" s="25" t="str">
        <f>Rice!L7</f>
        <v>ABARES (2023b)</v>
      </c>
      <c r="L5" s="25" t="str">
        <f>Rice!M7</f>
        <v>Australian Bureau of Agricultural and Resource Economics and Sciences (2023). Agricultural Commodities, September 2023. Last accessed October 2023.</v>
      </c>
    </row>
    <row r="6" spans="1:12" x14ac:dyDescent="0.25">
      <c r="A6" s="22" t="s">
        <v>32</v>
      </c>
      <c r="B6" s="6" t="s">
        <v>61</v>
      </c>
      <c r="C6" s="43">
        <f>'Coarse Grains'!D7</f>
        <v>346.12200000000001</v>
      </c>
      <c r="D6" s="43">
        <f>'Coarse Grains'!E7</f>
        <v>384.55099999999999</v>
      </c>
      <c r="E6" s="43">
        <f>'Coarse Grains'!F7</f>
        <v>329.33</v>
      </c>
      <c r="F6" s="43">
        <f>'Coarse Grains'!G7</f>
        <v>383.36</v>
      </c>
      <c r="G6" s="43">
        <f>'Coarse Grains'!H7</f>
        <v>455.13799999999998</v>
      </c>
      <c r="H6" s="44">
        <f>'Coarse Grains'!I7</f>
        <v>0.1872339315525875</v>
      </c>
      <c r="I6" s="45">
        <f>'Coarse Grains'!J7</f>
        <v>379.70019999999994</v>
      </c>
      <c r="J6" s="44">
        <f>'Coarse Grains'!K7</f>
        <v>0.19867727222687814</v>
      </c>
      <c r="K6" s="25" t="str">
        <f>'Coarse Grains'!L7</f>
        <v>ABARES (2023b)</v>
      </c>
      <c r="L6" s="25" t="str">
        <f>'Coarse Grains'!M7</f>
        <v>Australian Bureau of Agricultural and Resource Economics and Sciences (2023). Agricultural Commodities, September 2023. Last accessed October 2023.</v>
      </c>
    </row>
    <row r="7" spans="1:12" x14ac:dyDescent="0.25">
      <c r="A7" s="22" t="s">
        <v>128</v>
      </c>
      <c r="B7" s="6" t="s">
        <v>61</v>
      </c>
      <c r="C7" s="43">
        <f>Pulses!D7</f>
        <v>1126.117</v>
      </c>
      <c r="D7" s="43">
        <f>Pulses!E7</f>
        <v>760.78099999999995</v>
      </c>
      <c r="E7" s="43">
        <f>Pulses!F7</f>
        <v>592.98299999999995</v>
      </c>
      <c r="F7" s="43">
        <f>Pulses!G7</f>
        <v>778.94200000000001</v>
      </c>
      <c r="G7" s="43">
        <f>Pulses!H7</f>
        <v>782.81700000000001</v>
      </c>
      <c r="H7" s="44">
        <f>Pulses!I7</f>
        <v>4.9746964472323629E-3</v>
      </c>
      <c r="I7" s="45">
        <f>Pulses!J7</f>
        <v>808.32799999999997</v>
      </c>
      <c r="J7" s="44">
        <f>Pulses!K7</f>
        <v>-3.1560208232301656E-2</v>
      </c>
      <c r="K7" s="25" t="str">
        <f>Pulses!L7</f>
        <v>ABARES (2023b)</v>
      </c>
      <c r="L7" s="25" t="str">
        <f>Pulses!M7</f>
        <v>Australian Bureau of Agricultural and Resource Economics and Sciences (2023). Agricultural Commodities, September 2023. Last accessed October 2023.</v>
      </c>
    </row>
    <row r="8" spans="1:12" x14ac:dyDescent="0.25">
      <c r="A8" s="22" t="s">
        <v>129</v>
      </c>
      <c r="B8" s="6" t="s">
        <v>61</v>
      </c>
      <c r="C8" s="43">
        <f>Oilseeds!D7</f>
        <v>573.82399999999996</v>
      </c>
      <c r="D8" s="43">
        <f>Oilseeds!E7</f>
        <v>596.50900000000001</v>
      </c>
      <c r="E8" s="43">
        <f>Oilseeds!F7</f>
        <v>615.95600000000002</v>
      </c>
      <c r="F8" s="43">
        <f>Oilseeds!G7</f>
        <v>880.00300000000004</v>
      </c>
      <c r="G8" s="43">
        <f>Oilseeds!H7</f>
        <v>732.64800000000002</v>
      </c>
      <c r="H8" s="44">
        <f>Oilseeds!I7</f>
        <v>-0.16744829278991091</v>
      </c>
      <c r="I8" s="45">
        <f>Oilseeds!J7</f>
        <v>679.78800000000012</v>
      </c>
      <c r="J8" s="44">
        <f>Oilseeds!K7</f>
        <v>7.7759536796765838E-2</v>
      </c>
      <c r="K8" s="25" t="str">
        <f>Oilseeds!L7</f>
        <v>ABARES (2023b)</v>
      </c>
      <c r="L8" s="25" t="str">
        <f>Oilseeds!M7</f>
        <v>Australian Bureau of Agricultural and Resource Economics and Sciences (2023). Agricultural Commodities, September 2023. Last accessed October 2023.</v>
      </c>
    </row>
    <row r="9" spans="1:12" x14ac:dyDescent="0.25">
      <c r="A9" s="22" t="s">
        <v>12</v>
      </c>
      <c r="B9" s="6" t="s">
        <v>72</v>
      </c>
      <c r="C9" s="43">
        <f>'Cotton Lint'!D7</f>
        <v>619.2650799999999</v>
      </c>
      <c r="D9" s="43">
        <f>'Cotton Lint'!E7</f>
        <v>498.90967999999998</v>
      </c>
      <c r="E9" s="43">
        <f>'Cotton Lint'!F7</f>
        <v>587.67349000000002</v>
      </c>
      <c r="F9" s="43">
        <f>'Cotton Lint'!G7</f>
        <v>747.49511000000007</v>
      </c>
      <c r="G9" s="43">
        <f>'Cotton Lint'!H7</f>
        <v>636.65554999999995</v>
      </c>
      <c r="H9" s="44">
        <f>'Cotton Lint'!I7</f>
        <v>-0.14828131785370491</v>
      </c>
      <c r="I9" s="45">
        <f>'Cotton Lint'!J7</f>
        <v>613.33583999999996</v>
      </c>
      <c r="J9" s="44">
        <f>'Cotton Lint'!K7</f>
        <v>0.2187370462485938</v>
      </c>
      <c r="K9" s="25" t="str">
        <f>'Cotton Lint'!L7</f>
        <v>ABARES (2023b)</v>
      </c>
      <c r="L9" s="25" t="str">
        <f>'Cotton Lint'!M7</f>
        <v>Australian Bureau of Agricultural and Resource Economics and Sciences (2023). Agricultural Commodities, September 2023. Last accessed October 2023.</v>
      </c>
    </row>
    <row r="10" spans="1:12" x14ac:dyDescent="0.25">
      <c r="A10" s="22" t="s">
        <v>13</v>
      </c>
      <c r="B10" s="6" t="s">
        <v>324</v>
      </c>
      <c r="C10" s="43">
        <f>Sugarcane!D8</f>
        <v>39.026000000000003</v>
      </c>
      <c r="D10" s="43">
        <f>Sugarcane!E8</f>
        <v>41.387</v>
      </c>
      <c r="E10" s="43">
        <f>Sugarcane!F8</f>
        <v>41.26</v>
      </c>
      <c r="F10" s="43">
        <f>Sugarcane!G8</f>
        <v>48.033999999999999</v>
      </c>
      <c r="G10" s="43">
        <f>Sugarcane!H8</f>
        <v>58.4</v>
      </c>
      <c r="H10" s="51">
        <f>Sugarcane!I8</f>
        <v>0.21580547112462001</v>
      </c>
      <c r="I10" s="43">
        <f>Sugarcane!J8</f>
        <v>45.621400000000001</v>
      </c>
      <c r="J10" s="51">
        <f>Sugarcane!K8</f>
        <v>0.2801010052300017</v>
      </c>
      <c r="K10" s="43" t="str">
        <f>Sugarcane!L8</f>
        <v>ABARES (2023b)</v>
      </c>
      <c r="L10" s="43" t="str">
        <f>Sugarcane!M8</f>
        <v>Australian Bureau of Agricultural and Resource Economics and Sciences (2023). Agricultural Commodities, September 2023. Last accessed October 2023.</v>
      </c>
    </row>
    <row r="11" spans="1:12" x14ac:dyDescent="0.25">
      <c r="A11" s="9" t="s">
        <v>130</v>
      </c>
      <c r="B11" s="9"/>
      <c r="C11" s="10"/>
      <c r="D11" s="10"/>
      <c r="E11" s="10"/>
      <c r="F11" s="10"/>
      <c r="G11" s="10"/>
      <c r="H11" s="46"/>
      <c r="I11" s="47" t="str">
        <f t="shared" ref="I11:I15" si="0">IF(ISBLANK(F11),"",IF(ISNA(AVERAGE(C11:F11)),"N/A",IF(ISERROR(AVERAGE(C11:F11)-1),"N/A",AVERAGE(C11:F11))))</f>
        <v/>
      </c>
      <c r="J11" s="46"/>
      <c r="K11" s="10"/>
      <c r="L11" s="10"/>
    </row>
    <row r="12" spans="1:12" x14ac:dyDescent="0.25">
      <c r="A12" s="22" t="s">
        <v>131</v>
      </c>
      <c r="B12" s="6" t="s">
        <v>132</v>
      </c>
      <c r="C12" s="48">
        <f>Horticulture!D13</f>
        <v>103.125</v>
      </c>
      <c r="D12" s="48">
        <f>Horticulture!E13</f>
        <v>106.35</v>
      </c>
      <c r="E12" s="48">
        <f>Horticulture!F13</f>
        <v>111.27500000000001</v>
      </c>
      <c r="F12" s="48">
        <f>Horticulture!G13</f>
        <v>108.52499999999999</v>
      </c>
      <c r="G12" s="48">
        <f>Horticulture!H13</f>
        <v>120.70000000000002</v>
      </c>
      <c r="H12" s="49">
        <f>IF(ISBLANK(F12),"N/A",IF(ISNA(F12/E12-1),"N/A",IF(ISERROR(F12/E12-1),"N/A",F12/E12-1)))</f>
        <v>-2.4713547517411949E-2</v>
      </c>
      <c r="I12" s="50">
        <f t="shared" si="0"/>
        <v>107.31874999999999</v>
      </c>
      <c r="J12" s="44">
        <f t="shared" ref="J12:J14" si="1">IF(ISBLANK(G12),"",IF(ISNA(G12/AVERAGE(C12:G12)-1),"N/A",IF(ISERROR(G12/AVERAGE(C12:G12)-1),"N/A",G12/AVERAGE(C12:G12)-1)))</f>
        <v>9.732260557298078E-2</v>
      </c>
      <c r="K12" s="25" t="str">
        <f>Horticulture!L13</f>
        <v>ABS (2023b)</v>
      </c>
      <c r="L12" s="25" t="str">
        <f>Horticulture!M13</f>
        <v>Australian Bureau of Statistics (2023). 6401.0 Consumer Price Index, Australia, June 2023. Last accessed October 2023.</v>
      </c>
    </row>
    <row r="13" spans="1:12" x14ac:dyDescent="0.25">
      <c r="A13" s="22" t="s">
        <v>133</v>
      </c>
      <c r="B13" s="6" t="s">
        <v>132</v>
      </c>
      <c r="C13" s="48">
        <f>Horticulture!D14</f>
        <v>121.72500000000001</v>
      </c>
      <c r="D13" s="48">
        <f>Horticulture!E14</f>
        <v>126.02499999999999</v>
      </c>
      <c r="E13" s="48">
        <f>Horticulture!F14</f>
        <v>126.77499999999999</v>
      </c>
      <c r="F13" s="48">
        <f>Horticulture!G14</f>
        <v>138.57499999999999</v>
      </c>
      <c r="G13" s="48">
        <f>Horticulture!H14</f>
        <v>144.47500000000002</v>
      </c>
      <c r="H13" s="49">
        <f>IF(ISBLANK(F13),"N/A",IF(ISNA(F13/E13-1),"N/A",IF(ISERROR(F13/E13-1),"N/A",F13/E13-1)))</f>
        <v>9.3078288306053913E-2</v>
      </c>
      <c r="I13" s="50">
        <f t="shared" si="0"/>
        <v>128.27499999999998</v>
      </c>
      <c r="J13" s="44">
        <f t="shared" si="1"/>
        <v>9.8543892331673488E-2</v>
      </c>
      <c r="K13" s="25" t="str">
        <f>Horticulture!L14</f>
        <v>ABS (2023b)</v>
      </c>
      <c r="L13" s="25" t="str">
        <f>Horticulture!M14</f>
        <v>Australian Bureau of Statistics (2023). 6401.0 Consumer Price Index, Australia, June 2023. Last accessed October 2023.</v>
      </c>
    </row>
    <row r="14" spans="1:12" x14ac:dyDescent="0.25">
      <c r="A14" s="22" t="s">
        <v>37</v>
      </c>
      <c r="B14" s="6" t="s">
        <v>61</v>
      </c>
      <c r="C14" s="43">
        <f>Wine!D7</f>
        <v>488.973876818115</v>
      </c>
      <c r="D14" s="43">
        <f>Wine!E7</f>
        <v>516.33153954537704</v>
      </c>
      <c r="E14" s="43">
        <f>Wine!F7</f>
        <v>491.221438290501</v>
      </c>
      <c r="F14" s="43">
        <f>Wine!G7</f>
        <v>434.12706004008197</v>
      </c>
      <c r="G14" s="43">
        <f>Wine!H7</f>
        <v>437.04174819161602</v>
      </c>
      <c r="H14" s="44">
        <f>IF(ISBLANK(F14),"N/A",IF(ISNA(F14/E14-1),"N/A",IF(ISERROR(F14/E14-1),"N/A",F14/E14-1)))</f>
        <v>-0.11622941060779657</v>
      </c>
      <c r="I14" s="45">
        <f t="shared" si="0"/>
        <v>482.66347867351874</v>
      </c>
      <c r="J14" s="44">
        <f t="shared" si="1"/>
        <v>-7.7073639483378642E-2</v>
      </c>
      <c r="K14" s="25" t="str">
        <f>Wine!L7</f>
        <v>ABARES (2023b)</v>
      </c>
      <c r="L14" s="25" t="str">
        <f>Wine!M7</f>
        <v>Australian Bureau of Agricultural and Resource Economics and Sciences (2023). Agricultural Commodities, September 2023. Last accessed October 2023.</v>
      </c>
    </row>
    <row r="15" spans="1:12" x14ac:dyDescent="0.25">
      <c r="A15" s="15" t="s">
        <v>110</v>
      </c>
      <c r="B15" s="9"/>
      <c r="C15" s="10"/>
      <c r="D15" s="10"/>
      <c r="E15" s="10"/>
      <c r="F15" s="10"/>
      <c r="G15" s="10"/>
      <c r="H15" s="46"/>
      <c r="I15" s="47" t="str">
        <f t="shared" si="0"/>
        <v/>
      </c>
      <c r="J15" s="46"/>
      <c r="K15" s="10"/>
      <c r="L15" s="10"/>
    </row>
    <row r="16" spans="1:12" x14ac:dyDescent="0.25">
      <c r="A16" s="22" t="s">
        <v>134</v>
      </c>
      <c r="B16" s="6" t="s">
        <v>135</v>
      </c>
      <c r="C16" s="48">
        <f>Beef!D10</f>
        <v>485.44</v>
      </c>
      <c r="D16" s="48">
        <f>Beef!E10</f>
        <v>584.77</v>
      </c>
      <c r="E16" s="48">
        <f>Beef!F10</f>
        <v>833.22</v>
      </c>
      <c r="F16" s="48">
        <f>Beef!G10</f>
        <v>1073.2447257383967</v>
      </c>
      <c r="G16" s="48">
        <f>Beef!H10</f>
        <v>813.46</v>
      </c>
      <c r="H16" s="51">
        <f>Beef!I10</f>
        <v>-0.2420554413250563</v>
      </c>
      <c r="I16" s="48">
        <f>Beef!J10</f>
        <v>758.02694514767938</v>
      </c>
      <c r="J16" s="44">
        <f t="shared" ref="J16:J26" si="2">IF(ISBLANK(G16),"",IF(ISNA(G16/AVERAGE(C16:G16)-1),"N/A",IF(ISERROR(G16/AVERAGE(C16:G16)-1),"N/A",G16/AVERAGE(C16:G16)-1)))</f>
        <v>7.3128079690519598E-2</v>
      </c>
      <c r="K16" s="48" t="str">
        <f>Beef!L10</f>
        <v>MLA (2023a)</v>
      </c>
      <c r="L16" s="48" t="str">
        <f>Beef!M10</f>
        <v>Meat and Livestock Australia (2023). Market Information and Statistics Database Custom Report. Last accessed October 2023.</v>
      </c>
    </row>
    <row r="17" spans="1:12" x14ac:dyDescent="0.25">
      <c r="A17" s="22" t="s">
        <v>136</v>
      </c>
      <c r="B17" s="6" t="s">
        <v>135</v>
      </c>
      <c r="C17" s="48">
        <f>Beef!D11</f>
        <v>186.793148179317</v>
      </c>
      <c r="D17" s="48">
        <f>Beef!E11</f>
        <v>242.95474450766301</v>
      </c>
      <c r="E17" s="48">
        <f>Beef!F11</f>
        <v>298.00053713072202</v>
      </c>
      <c r="F17" s="48">
        <f>Beef!G11</f>
        <v>365.913000468436</v>
      </c>
      <c r="G17" s="48">
        <f>Beef!H11</f>
        <v>284.439913000491</v>
      </c>
      <c r="H17" s="51">
        <f>Beef!I11</f>
        <v>-0.22265699049676957</v>
      </c>
      <c r="I17" s="48">
        <f>Beef!J11</f>
        <v>275.62026865732582</v>
      </c>
      <c r="J17" s="44">
        <f t="shared" si="2"/>
        <v>3.1999258930156982E-2</v>
      </c>
      <c r="K17" s="48" t="str">
        <f>Beef!L11</f>
        <v>MLA (2023a)</v>
      </c>
      <c r="L17" s="48" t="str">
        <f>Beef!M11</f>
        <v>Meat and Livestock Australia (2023). Market Information and Statistics Database Custom Report. Last accessed October 2023.</v>
      </c>
    </row>
    <row r="18" spans="1:12" x14ac:dyDescent="0.25">
      <c r="A18" s="22" t="s">
        <v>137</v>
      </c>
      <c r="B18" s="6" t="s">
        <v>135</v>
      </c>
      <c r="C18" s="48">
        <f>Beef!D12</f>
        <v>263.16861585273801</v>
      </c>
      <c r="D18" s="48">
        <f>Beef!E12</f>
        <v>304.87575358876899</v>
      </c>
      <c r="E18" s="48">
        <f>Beef!F12</f>
        <v>367.81919067369103</v>
      </c>
      <c r="F18" s="48">
        <f>Beef!G12</f>
        <v>445.35945944203502</v>
      </c>
      <c r="G18" s="48">
        <f>Beef!H12</f>
        <v>368.491450382116</v>
      </c>
      <c r="H18" s="51">
        <f>Beef!I12</f>
        <v>-0.17259767908875778</v>
      </c>
      <c r="I18" s="48">
        <f>Beef!J12</f>
        <v>349.94289398786975</v>
      </c>
      <c r="J18" s="44">
        <f t="shared" si="2"/>
        <v>5.3004523632044886E-2</v>
      </c>
      <c r="K18" s="48" t="str">
        <f>Beef!L12</f>
        <v>MLA (2023a)</v>
      </c>
      <c r="L18" s="48" t="str">
        <f>Beef!M12</f>
        <v>Meat and Livestock Australia (2023). Market Information and Statistics Database Custom Report. Last accessed October 2023.</v>
      </c>
    </row>
    <row r="19" spans="1:12" x14ac:dyDescent="0.25">
      <c r="A19" s="22" t="s">
        <v>138</v>
      </c>
      <c r="B19" s="6" t="s">
        <v>135</v>
      </c>
      <c r="C19" s="48">
        <f>'Sheep Meat'!D9</f>
        <v>747.07295349774995</v>
      </c>
      <c r="D19" s="48">
        <f>'Sheep Meat'!E9</f>
        <v>840.38770688319698</v>
      </c>
      <c r="E19" s="48">
        <f>'Sheep Meat'!F9</f>
        <v>776.53402519328904</v>
      </c>
      <c r="F19" s="48">
        <f>'Sheep Meat'!G9</f>
        <v>860.41358651089695</v>
      </c>
      <c r="G19" s="48">
        <f>'Sheep Meat'!H9</f>
        <v>729.59111905213899</v>
      </c>
      <c r="H19" s="51">
        <f>'Sheep Meat'!I9</f>
        <v>-0.15204602706154635</v>
      </c>
      <c r="I19" s="48">
        <f>'Sheep Meat'!J9</f>
        <v>790.79987822745443</v>
      </c>
      <c r="J19" s="44">
        <f t="shared" si="2"/>
        <v>-7.7401073091351913E-2</v>
      </c>
      <c r="K19" s="48" t="str">
        <f>'Sheep Meat'!L9</f>
        <v>MLA (2023a)</v>
      </c>
      <c r="L19" s="48" t="str">
        <f>'Sheep Meat'!M9</f>
        <v>Meat and Livestock Australia (2023). Market Information and Statistics Database Custom Report. Last accessed October 2023.</v>
      </c>
    </row>
    <row r="20" spans="1:12" x14ac:dyDescent="0.25">
      <c r="A20" s="22" t="s">
        <v>139</v>
      </c>
      <c r="B20" s="6" t="s">
        <v>135</v>
      </c>
      <c r="C20" s="48">
        <f>'Sheep Meat'!D10</f>
        <v>453.01172244472701</v>
      </c>
      <c r="D20" s="48">
        <f>'Sheep Meat'!E10</f>
        <v>591.38974481964499</v>
      </c>
      <c r="E20" s="48">
        <f>'Sheep Meat'!F10</f>
        <v>607.52225134826904</v>
      </c>
      <c r="F20" s="48">
        <f>'Sheep Meat'!G10</f>
        <v>604.79508085491398</v>
      </c>
      <c r="G20" s="48">
        <f>'Sheep Meat'!H10</f>
        <v>402.43221648004101</v>
      </c>
      <c r="H20" s="51">
        <f>'Sheep Meat'!I10</f>
        <v>-0.33459740460987375</v>
      </c>
      <c r="I20" s="48">
        <f>'Sheep Meat'!J10</f>
        <v>531.83020318951924</v>
      </c>
      <c r="J20" s="44">
        <f t="shared" si="2"/>
        <v>-0.24330695386130008</v>
      </c>
      <c r="K20" s="48" t="str">
        <f>'Sheep Meat'!L10</f>
        <v>MLA (2023a)</v>
      </c>
      <c r="L20" s="48" t="str">
        <f>'Sheep Meat'!M10</f>
        <v>Meat and Livestock Australia (2023). Market Information and Statistics Database Custom Report. Last accessed October 2023.</v>
      </c>
    </row>
    <row r="21" spans="1:12" x14ac:dyDescent="0.25">
      <c r="A21" s="22" t="s">
        <v>140</v>
      </c>
      <c r="B21" s="6" t="s">
        <v>135</v>
      </c>
      <c r="C21" s="48">
        <f>+'Goat Meat'!D5</f>
        <v>630.75</v>
      </c>
      <c r="D21" s="48">
        <f>+'Goat Meat'!E5</f>
        <v>857.32</v>
      </c>
      <c r="E21" s="48">
        <f>+'Goat Meat'!F5</f>
        <v>814.78</v>
      </c>
      <c r="F21" s="48">
        <f>+'Goat Meat'!G5</f>
        <v>902.38</v>
      </c>
      <c r="G21" s="48">
        <f>+'Goat Meat'!H5</f>
        <v>493.42</v>
      </c>
      <c r="H21" s="51">
        <f>+'Goat Meat'!I5</f>
        <v>-0.45320153372193528</v>
      </c>
      <c r="I21" s="48">
        <f>+'Goat Meat'!J5</f>
        <v>739.73000000000013</v>
      </c>
      <c r="J21" s="44">
        <f t="shared" si="2"/>
        <v>-0.33297284144214789</v>
      </c>
      <c r="K21" s="48" t="str">
        <f>+'Goat Meat'!L5</f>
        <v>MLA (2023a)</v>
      </c>
      <c r="L21" s="48" t="str">
        <f>+'Goat Meat'!M5</f>
        <v>Meat and Livestock Australia (2023). Market Information and Statistics Database Custom Report. Last accessed October 2023.</v>
      </c>
    </row>
    <row r="22" spans="1:12" x14ac:dyDescent="0.25">
      <c r="A22" s="22" t="s">
        <v>17</v>
      </c>
      <c r="B22" s="6" t="s">
        <v>135</v>
      </c>
      <c r="C22" s="48">
        <f>Pork!D6</f>
        <v>294.75799999999998</v>
      </c>
      <c r="D22" s="48">
        <f>Pork!E6</f>
        <v>377.21899999999999</v>
      </c>
      <c r="E22" s="48">
        <f>Pork!F6</f>
        <v>360.11200000000002</v>
      </c>
      <c r="F22" s="48">
        <f>Pork!G6</f>
        <v>356.83800000000002</v>
      </c>
      <c r="G22" s="48">
        <f>Pork!H6</f>
        <v>377.47199999999998</v>
      </c>
      <c r="H22" s="51">
        <f>Pork!I6</f>
        <v>5.782455904359951E-2</v>
      </c>
      <c r="I22" s="48">
        <f>Pork!J6</f>
        <v>353.27979999999997</v>
      </c>
      <c r="J22" s="44">
        <f t="shared" si="2"/>
        <v>6.8478865760227547E-2</v>
      </c>
      <c r="K22" s="48" t="str">
        <f>Pork!L6</f>
        <v>ABARES (2023b)</v>
      </c>
      <c r="L22" s="48" t="str">
        <f>Pork!M6</f>
        <v>Australian Bureau of Agricultural and Resource Economics and Sciences (2023). Agricultural Commodities, September 2023. Last accessed October 2023.</v>
      </c>
    </row>
    <row r="23" spans="1:12" x14ac:dyDescent="0.25">
      <c r="A23" s="22" t="s">
        <v>18</v>
      </c>
      <c r="B23" s="6" t="s">
        <v>135</v>
      </c>
      <c r="C23" s="48">
        <f>Poultry!D6</f>
        <v>216.80199999999999</v>
      </c>
      <c r="D23" s="48">
        <f>Poultry!E6</f>
        <v>219.74199999999999</v>
      </c>
      <c r="E23" s="48">
        <f>Poultry!F6</f>
        <v>219.471</v>
      </c>
      <c r="F23" s="48">
        <f>Poultry!G6</f>
        <v>226.16300000000001</v>
      </c>
      <c r="G23" s="48">
        <f>Poultry!H6</f>
        <v>243.43600000000001</v>
      </c>
      <c r="H23" s="51">
        <f>Poultry!I6</f>
        <v>7.6374119550943309E-2</v>
      </c>
      <c r="I23" s="48">
        <f>Poultry!J6</f>
        <v>225.12280000000001</v>
      </c>
      <c r="J23" s="44">
        <f t="shared" si="2"/>
        <v>8.1347602286396592E-2</v>
      </c>
      <c r="K23" s="48" t="str">
        <f>Poultry!L6</f>
        <v>ABARES (2023b)</v>
      </c>
      <c r="L23" s="48" t="str">
        <f>Poultry!M6</f>
        <v>Australian Bureau of Agricultural and Resource Economics and Sciences (2023). Agricultural Commodities, September 2023. Last accessed October 2023.</v>
      </c>
    </row>
    <row r="24" spans="1:12" x14ac:dyDescent="0.25">
      <c r="A24" s="52" t="s">
        <v>141</v>
      </c>
      <c r="B24" s="6" t="s">
        <v>142</v>
      </c>
      <c r="C24" s="25">
        <f>Wool!D9</f>
        <v>1939</v>
      </c>
      <c r="D24" s="25">
        <f>Wool!E9</f>
        <v>1448</v>
      </c>
      <c r="E24" s="25">
        <f>Wool!F9</f>
        <v>1199</v>
      </c>
      <c r="F24" s="25">
        <f>Wool!G9</f>
        <v>1385</v>
      </c>
      <c r="G24" s="25">
        <f>Wool!H9</f>
        <v>1295</v>
      </c>
      <c r="H24" s="51">
        <f>Wool!I9</f>
        <v>-6.498194945848379E-2</v>
      </c>
      <c r="I24" s="25">
        <f>Wool!J9</f>
        <v>1453.2</v>
      </c>
      <c r="J24" s="44">
        <f t="shared" si="2"/>
        <v>-0.10886319845857417</v>
      </c>
      <c r="K24" s="25" t="str">
        <f>Wool!L9</f>
        <v>AWI (2023b)</v>
      </c>
      <c r="L24" s="25" t="str">
        <f>Wool!M9</f>
        <v>Australian Wool Innovation Limited (2023). Australian Wool Innovation Annual Report. Last accessed November 2023.</v>
      </c>
    </row>
    <row r="25" spans="1:12" x14ac:dyDescent="0.25">
      <c r="A25" s="22" t="s">
        <v>143</v>
      </c>
      <c r="B25" s="6" t="s">
        <v>132</v>
      </c>
      <c r="C25" s="53">
        <f>Fisheries!D9</f>
        <v>116</v>
      </c>
      <c r="D25" s="53">
        <f>Fisheries!E9</f>
        <v>119.1</v>
      </c>
      <c r="E25" s="53">
        <f>Fisheries!F9</f>
        <v>120.77499999999999</v>
      </c>
      <c r="F25" s="53">
        <f>Fisheries!G9</f>
        <v>121.97499999999999</v>
      </c>
      <c r="G25" s="53">
        <f>Fisheries!H9</f>
        <v>131.80000000000001</v>
      </c>
      <c r="H25" s="51">
        <f>Fisheries!I9</f>
        <v>8.0549292887887036E-2</v>
      </c>
      <c r="I25" s="53">
        <f>Fisheries!J9</f>
        <v>121.93000000000002</v>
      </c>
      <c r="J25" s="44">
        <f t="shared" si="2"/>
        <v>8.0948084966784073E-2</v>
      </c>
      <c r="K25" s="53" t="str">
        <f>Fisheries!L9</f>
        <v>ABS (2023b)</v>
      </c>
      <c r="L25" s="53" t="str">
        <f>Fisheries!M9</f>
        <v>Australian Bureau of Statistics (2023). 6401.0 Consumer Price Index, Australia, June 2023. Last accessed October 2023.</v>
      </c>
    </row>
    <row r="26" spans="1:12" x14ac:dyDescent="0.25">
      <c r="A26" s="22" t="s">
        <v>144</v>
      </c>
      <c r="B26" s="54" t="s">
        <v>145</v>
      </c>
      <c r="C26" s="53">
        <f>Milk!D8</f>
        <v>50.5</v>
      </c>
      <c r="D26" s="53">
        <f>Milk!E8</f>
        <v>54.7</v>
      </c>
      <c r="E26" s="53">
        <f>Milk!F8</f>
        <v>62</v>
      </c>
      <c r="F26" s="53">
        <f>Milk!G8</f>
        <v>62.56</v>
      </c>
      <c r="G26" s="25">
        <f>Milk!H8</f>
        <v>78.94</v>
      </c>
      <c r="H26" s="51">
        <f>Milk!I8</f>
        <v>0.26182864450127874</v>
      </c>
      <c r="I26" s="25">
        <f>Milk!J8</f>
        <v>61.739999999999995</v>
      </c>
      <c r="J26" s="44">
        <f t="shared" si="2"/>
        <v>0.27858762552640104</v>
      </c>
      <c r="K26" s="25" t="str">
        <f>Milk!L8</f>
        <v>DA (2022b); ADPF (2023)</v>
      </c>
      <c r="L26" s="25" t="str">
        <f>Milk!M8</f>
        <v>Dairy Australia (2022), Farmgate Milk Price, last accessed October 2022, &lt;https://www.dairyaustralia.com.au/industry/prices/farmgate-milk-price&gt;; Australian Dairy Products Federation (2023). Farmgate Milk Value Tool. Last accessed November 2023. &lt;https://milkvalue.com.au/milk-prices/farmgate-milk-value-tool/&gt;</v>
      </c>
    </row>
    <row r="27" spans="1:12" x14ac:dyDescent="0.25">
      <c r="A27" s="9" t="s">
        <v>146</v>
      </c>
      <c r="B27" s="9"/>
      <c r="C27" s="10"/>
      <c r="D27" s="10"/>
      <c r="E27" s="10"/>
      <c r="F27" s="10"/>
      <c r="G27" s="10"/>
      <c r="H27" s="46"/>
      <c r="I27" s="47" t="str">
        <f t="shared" ref="I27:I30" si="3">IF(ISBLANK(F27),"",IF(ISNA(AVERAGE(C27:F27)),"N/A",IF(ISERROR(AVERAGE(C27:F27)-1),"N/A",AVERAGE(C27:F27))))</f>
        <v/>
      </c>
      <c r="J27" s="46"/>
      <c r="K27" s="10"/>
      <c r="L27" s="10"/>
    </row>
    <row r="28" spans="1:12" x14ac:dyDescent="0.25">
      <c r="A28" s="22" t="s">
        <v>273</v>
      </c>
      <c r="B28" s="6" t="s">
        <v>147</v>
      </c>
      <c r="C28" s="43">
        <f>Forestry!D10</f>
        <v>68.464313126952206</v>
      </c>
      <c r="D28" s="43">
        <f>Forestry!E10</f>
        <v>73.944544773211518</v>
      </c>
      <c r="E28" s="43">
        <f>Forestry!F10</f>
        <v>62.782423726063257</v>
      </c>
      <c r="F28" s="43">
        <f>Forestry!G10</f>
        <v>72.526096619449973</v>
      </c>
      <c r="G28" s="25" t="str">
        <f>Forestry!H10</f>
        <v>N/A</v>
      </c>
      <c r="H28" s="49">
        <f>IF(ISBLANK(F28),"N/A",IF(ISNA(F28/E28-1),"N/A",IF(ISERROR(F28/E28-1),"N/A",F28/E28-1)))</f>
        <v>0.15519746316104333</v>
      </c>
      <c r="I28" s="55">
        <f t="shared" si="3"/>
        <v>69.429344561419242</v>
      </c>
      <c r="J28" s="49">
        <f>IF(ISBLANK(F28),"",IF(ISNA(F28/AVERAGE(C28:F28)-1),"N/A",IF(ISERROR(F28/AVERAGE(C28:F28)-1),"N/A",F28/AVERAGE(C28:F28)-1)))</f>
        <v>4.4602928021180599E-2</v>
      </c>
      <c r="K28" s="25" t="str">
        <f>Forestry!L10</f>
        <v>ABARES (2023c)</v>
      </c>
      <c r="L28" s="25" t="str">
        <f>Forestry!M10</f>
        <v>Australian Bureau of Agricultural and Resource Economics and Sciences (2022). Australian Forest and Wood Product Statistics September – December 2022. Last accessed October 2023.</v>
      </c>
    </row>
    <row r="29" spans="1:12" x14ac:dyDescent="0.25">
      <c r="A29" s="22" t="s">
        <v>274</v>
      </c>
      <c r="B29" s="6" t="s">
        <v>147</v>
      </c>
      <c r="C29" s="43">
        <f>Forestry!D11</f>
        <v>128.03772992081019</v>
      </c>
      <c r="D29" s="43">
        <f>Forestry!E11</f>
        <v>135.88741944201854</v>
      </c>
      <c r="E29" s="43">
        <f>Forestry!F11</f>
        <v>135.58223353455503</v>
      </c>
      <c r="F29" s="43">
        <f>Forestry!G11</f>
        <v>133.79018535833555</v>
      </c>
      <c r="G29" s="25" t="str">
        <f>Forestry!H11</f>
        <v>N/A</v>
      </c>
      <c r="H29" s="49">
        <f>IF(ISBLANK(F29),"N/A",IF(ISNA(F29/E29-1),"N/A",IF(ISERROR(F29/E29-1),"N/A",F29/E29-1)))</f>
        <v>-1.3217426277040589E-2</v>
      </c>
      <c r="I29" s="55">
        <f t="shared" si="3"/>
        <v>133.32439206392982</v>
      </c>
      <c r="J29" s="49">
        <f>IF(ISBLANK(F29),"",IF(ISNA(F29/AVERAGE(C29:F29)-1),"N/A",IF(ISERROR(F29/AVERAGE(C29:F29)-1),"N/A",F29/AVERAGE(C29:F29)-1)))</f>
        <v>3.4936839928163543E-3</v>
      </c>
      <c r="K29" s="25" t="str">
        <f>Forestry!L11</f>
        <v>ABARES (2023c)</v>
      </c>
      <c r="L29" s="25" t="str">
        <f>Forestry!M11</f>
        <v>Australian Bureau of Agricultural and Resource Economics and Sciences (2022). Australian Forest and Wood Product Statistics September – December 2022. Last accessed October 2023.</v>
      </c>
    </row>
    <row r="30" spans="1:12" x14ac:dyDescent="0.25">
      <c r="A30" s="22" t="s">
        <v>148</v>
      </c>
      <c r="B30" s="6" t="s">
        <v>132</v>
      </c>
      <c r="C30" s="53">
        <f>+Fisheries!D9</f>
        <v>116</v>
      </c>
      <c r="D30" s="53">
        <f>+Fisheries!E9</f>
        <v>119.1</v>
      </c>
      <c r="E30" s="53">
        <f>+Fisheries!F9</f>
        <v>120.77499999999999</v>
      </c>
      <c r="F30" s="53">
        <f>+Fisheries!G9</f>
        <v>121.97499999999999</v>
      </c>
      <c r="G30" s="53">
        <f>+Fisheries!H9</f>
        <v>131.80000000000001</v>
      </c>
      <c r="H30" s="56">
        <f>IF(ISBLANK(F30),"N/A",IF(ISNA(F30/E30-1),"N/A",IF(ISERROR(F30/E30-1),"N/A",F30/E30-1)))</f>
        <v>9.9358310908714831E-3</v>
      </c>
      <c r="I30" s="56">
        <f t="shared" si="3"/>
        <v>119.46250000000001</v>
      </c>
      <c r="J30" s="49">
        <f>IF(ISBLANK(F30),"",IF(ISNA(F30/AVERAGE(C30:F30)-1),"N/A",IF(ISERROR(F30/AVERAGE(C30:F30)-1),"N/A",F30/AVERAGE(C30:F30)-1)))</f>
        <v>2.10317045097832E-2</v>
      </c>
      <c r="K30" s="25" t="str">
        <f>+Fisheries!L9</f>
        <v>ABS (2023b)</v>
      </c>
      <c r="L30" s="25" t="str">
        <f>+Fisheries!M9</f>
        <v>Australian Bureau of Statistics (2023). 6401.0 Consumer Price Index, Australia, June 2023. Last accessed October 2023.</v>
      </c>
    </row>
    <row r="31" spans="1:12" x14ac:dyDescent="0.25">
      <c r="A31" s="26" t="s">
        <v>43</v>
      </c>
      <c r="B31" s="27"/>
      <c r="C31" s="27"/>
      <c r="D31" s="27"/>
      <c r="E31" s="27"/>
      <c r="F31" s="27"/>
      <c r="G31" s="27"/>
      <c r="H31" s="27"/>
      <c r="I31" s="27"/>
      <c r="J31" s="27"/>
      <c r="K31" s="13"/>
      <c r="L31" s="13"/>
    </row>
    <row r="32" spans="1:12" x14ac:dyDescent="0.25">
      <c r="A32" s="141" t="s">
        <v>348</v>
      </c>
      <c r="B32" s="27"/>
      <c r="C32" s="27"/>
      <c r="D32" s="27"/>
      <c r="E32" s="27"/>
      <c r="F32" s="27"/>
      <c r="G32" s="27"/>
      <c r="H32" s="27"/>
      <c r="I32" s="27"/>
      <c r="J32" s="27"/>
      <c r="K32" s="13"/>
      <c r="L32" s="13"/>
    </row>
    <row r="33" spans="1:12" x14ac:dyDescent="0.25">
      <c r="A33" s="13" t="s">
        <v>271</v>
      </c>
      <c r="B33" s="27"/>
      <c r="C33" s="27"/>
      <c r="D33" s="27"/>
      <c r="E33" s="27"/>
      <c r="F33" s="27"/>
      <c r="G33" s="27"/>
      <c r="H33" s="27"/>
      <c r="I33" s="27"/>
      <c r="J33" s="27"/>
      <c r="K33" s="13"/>
      <c r="L33" s="13"/>
    </row>
  </sheetData>
  <conditionalFormatting sqref="A2:L2 A3:G5 A7:E26 C12:G14 C28:G29 B27:E30 C16:L26 B6:G6 H3:J30 C10:K10 C7:G10">
    <cfRule type="expression" dxfId="65" priority="19">
      <formula>MOD(ROW(),2)=0</formula>
    </cfRule>
  </conditionalFormatting>
  <conditionalFormatting sqref="A28:A29">
    <cfRule type="expression" dxfId="64" priority="18">
      <formula>MOD(ROW(),2)=0</formula>
    </cfRule>
  </conditionalFormatting>
  <conditionalFormatting sqref="A27">
    <cfRule type="expression" dxfId="63" priority="17">
      <formula>MOD(ROW(),2)=0</formula>
    </cfRule>
  </conditionalFormatting>
  <conditionalFormatting sqref="B14">
    <cfRule type="expression" dxfId="62" priority="16">
      <formula>MOD(ROW(),2)=0</formula>
    </cfRule>
  </conditionalFormatting>
  <conditionalFormatting sqref="A25:B25">
    <cfRule type="expression" dxfId="61" priority="15">
      <formula>MOD(ROW(),2)=0</formula>
    </cfRule>
  </conditionalFormatting>
  <conditionalFormatting sqref="A30">
    <cfRule type="expression" dxfId="60" priority="14">
      <formula>MOD(ROW(),2)=0</formula>
    </cfRule>
  </conditionalFormatting>
  <conditionalFormatting sqref="A30">
    <cfRule type="expression" dxfId="59" priority="13">
      <formula>MOD(ROW(),2)=0</formula>
    </cfRule>
  </conditionalFormatting>
  <conditionalFormatting sqref="F28:G29 G16:L26 F3:G26">
    <cfRule type="expression" dxfId="58" priority="12">
      <formula>MOD(ROW(),2)=0</formula>
    </cfRule>
  </conditionalFormatting>
  <conditionalFormatting sqref="F27:G27">
    <cfRule type="expression" dxfId="57" priority="11">
      <formula>MOD(ROW(),2)=0</formula>
    </cfRule>
  </conditionalFormatting>
  <conditionalFormatting sqref="A6">
    <cfRule type="expression" dxfId="56" priority="10">
      <formula>MOD(ROW(),2)=0</formula>
    </cfRule>
  </conditionalFormatting>
  <conditionalFormatting sqref="F30">
    <cfRule type="expression" dxfId="55" priority="9">
      <formula>MOD(ROW(),2)=0</formula>
    </cfRule>
  </conditionalFormatting>
  <conditionalFormatting sqref="G30">
    <cfRule type="expression" dxfId="54" priority="8">
      <formula>MOD(ROW(),2)=0</formula>
    </cfRule>
  </conditionalFormatting>
  <conditionalFormatting sqref="K12:L14 K16:L26 K28:L29 K3:L10">
    <cfRule type="expression" dxfId="53" priority="7">
      <formula>MOD(ROW(),2)=0</formula>
    </cfRule>
  </conditionalFormatting>
  <conditionalFormatting sqref="K28:L29 K3:L26">
    <cfRule type="expression" dxfId="52" priority="6">
      <formula>MOD(ROW(),2)=0</formula>
    </cfRule>
  </conditionalFormatting>
  <conditionalFormatting sqref="K27:L27">
    <cfRule type="expression" dxfId="51" priority="5">
      <formula>MOD(ROW(),2)=0</formula>
    </cfRule>
  </conditionalFormatting>
  <conditionalFormatting sqref="K30:L30">
    <cfRule type="expression" dxfId="50" priority="4">
      <formula>MOD(ROW(),2)=0</formula>
    </cfRule>
  </conditionalFormatting>
  <conditionalFormatting sqref="L10">
    <cfRule type="expression" dxfId="49" priority="3">
      <formula>MOD(ROW(),2)=0</formula>
    </cfRule>
  </conditionalFormatting>
  <conditionalFormatting sqref="E9">
    <cfRule type="expression" dxfId="48" priority="2">
      <formula>MOD(ROW(),2)=0</formula>
    </cfRule>
  </conditionalFormatting>
  <conditionalFormatting sqref="D9">
    <cfRule type="expression" dxfId="47" priority="1">
      <formula>MOD(ROW(),2)=0</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F7B38-FFA5-409F-92D9-5EA7042ABA70}">
  <sheetPr codeName="Sheet25"/>
  <dimension ref="A1:L91"/>
  <sheetViews>
    <sheetView topLeftCell="A79" workbookViewId="0">
      <selection activeCell="A90" sqref="A90"/>
    </sheetView>
  </sheetViews>
  <sheetFormatPr defaultRowHeight="15" x14ac:dyDescent="0.25"/>
  <cols>
    <col min="1" max="1" width="22.42578125" customWidth="1"/>
    <col min="3" max="7" width="9.7109375" bestFit="1" customWidth="1"/>
    <col min="9" max="9" width="9.7109375" bestFit="1" customWidth="1"/>
  </cols>
  <sheetData>
    <row r="1" spans="1:12" ht="48.75" x14ac:dyDescent="0.25">
      <c r="A1" s="5" t="s">
        <v>204</v>
      </c>
      <c r="B1" s="5" t="s">
        <v>44</v>
      </c>
      <c r="C1" s="5" t="str">
        <f>+'Gross Value of Production'!C1</f>
        <v>2018-19</v>
      </c>
      <c r="D1" s="5" t="str">
        <f>+'Gross Value of Production'!D1</f>
        <v>2019-20</v>
      </c>
      <c r="E1" s="5" t="str">
        <f>+'Gross Value of Production'!E1</f>
        <v>2020-21</v>
      </c>
      <c r="F1" s="5" t="str">
        <f>+'Gross Value of Production'!F1</f>
        <v>2021-22s</v>
      </c>
      <c r="G1" s="5" t="str">
        <f>+'Gross Value of Production'!G1</f>
        <v>2022-23e</v>
      </c>
      <c r="H1" s="19" t="s">
        <v>47</v>
      </c>
      <c r="I1" s="19" t="s">
        <v>48</v>
      </c>
      <c r="J1" s="19" t="s">
        <v>49</v>
      </c>
      <c r="K1" s="9" t="s">
        <v>50</v>
      </c>
      <c r="L1" s="9" t="s">
        <v>51</v>
      </c>
    </row>
    <row r="2" spans="1:12" x14ac:dyDescent="0.25">
      <c r="A2" s="9" t="s">
        <v>31</v>
      </c>
      <c r="B2" s="9" t="s">
        <v>45</v>
      </c>
      <c r="C2" s="30">
        <f>SUM(C3,C7,C11,C14,C18,C22,C26,C30)</f>
        <v>155.12924800000002</v>
      </c>
      <c r="D2" s="30">
        <f>SUM(D3,D7,D11,D14,D18,D22,D26,D30)</f>
        <v>94.093366000000017</v>
      </c>
      <c r="E2" s="30">
        <f>SUM(E3,E7,E11,E14,E18,E22,E26,E30)</f>
        <v>2113.7944809999995</v>
      </c>
      <c r="F2" s="30">
        <f>SUM(F3,F7,F11,F14,F18,F22,F26,F30)</f>
        <v>4489.9846359999992</v>
      </c>
      <c r="G2" s="30">
        <f>SUM(G3,G7,G11,G14,G18,G22,G26,G30)</f>
        <v>4764.9083089999995</v>
      </c>
      <c r="H2" s="21">
        <f>IF(ISBLANK(G2),"N/A",IF(ISNA(G2/F2-1),"N/A",IF(ISERROR(G2/F2-1),"N/A",G2/F2-1)))</f>
        <v>6.1230426223667811E-2</v>
      </c>
      <c r="I2" s="31">
        <f>IF(ISBLANK(G2),"",IF(ISNA(AVERAGE(C2:G2)),"N/A",IF(ISERROR(AVERAGE(C2:G2)),"N/A",AVERAGE(C2:G2))))</f>
        <v>2323.5820079999999</v>
      </c>
      <c r="J2" s="21">
        <f>IF(ISBLANK(G2),"",IF(ISNA(G2/AVERAGE(C2:G2)-1),"N/A",IF(ISERROR(G2/AVERAGE(C2:G2)-1),"N/A",G2/AVERAGE(C2:G2)-1)))</f>
        <v>1.0506736119468179</v>
      </c>
      <c r="K2" s="11"/>
      <c r="L2" s="11"/>
    </row>
    <row r="3" spans="1:12" x14ac:dyDescent="0.25">
      <c r="A3" s="22" t="s">
        <v>7</v>
      </c>
      <c r="B3" s="6" t="s">
        <v>45</v>
      </c>
      <c r="C3" s="32">
        <f>Wheat!D8</f>
        <v>94.138112000000007</v>
      </c>
      <c r="D3" s="32">
        <f>Wheat!E8</f>
        <v>46.473123999999999</v>
      </c>
      <c r="E3" s="32">
        <f>Wheat!F8</f>
        <v>1422.9298839999999</v>
      </c>
      <c r="F3" s="32">
        <f>Wheat!G8</f>
        <v>2921.8144390000002</v>
      </c>
      <c r="G3" s="32">
        <f>Wheat!H8</f>
        <v>3292.7687769999998</v>
      </c>
      <c r="H3" s="23">
        <f t="shared" ref="H3:H69" si="0">IF(ISBLANK(G3),"N/A",IF(ISNA(G3/F3-1),"N/A",IF(ISERROR(G3/F3-1),"N/A",G3/F3-1)))</f>
        <v>0.12696026587060061</v>
      </c>
      <c r="I3" s="36">
        <f t="shared" ref="I3:I69" si="1">IF(ISBLANK(G3),"",IF(ISNA(AVERAGE(C3:G3)),"N/A",IF(ISERROR(AVERAGE(C3:G3)),"N/A",AVERAGE(C3:G3))))</f>
        <v>1555.6248671999997</v>
      </c>
      <c r="J3" s="23">
        <f>IF(ISBLANK(G3),"",IF(ISNA(G3/AVERAGE(C3:G3)-1),"N/A",IF(ISERROR(G3/AVERAGE(C3:G3)-1),"N/A",G3/AVERAGE(C3:G3)-1)))</f>
        <v>1.1166856138824266</v>
      </c>
      <c r="K3" s="8" t="str">
        <f>Wheat!L8</f>
        <v>GTA (2023)</v>
      </c>
      <c r="L3" s="8" t="str">
        <f>Wheat!M8</f>
        <v>IHS Global Trade Atlas (GTA) (2023). Unpublished trade data accessed via subscription service. Last Accessed October 2023.</v>
      </c>
    </row>
    <row r="4" spans="1:12" x14ac:dyDescent="0.25">
      <c r="A4" s="37" t="str">
        <f>Wheat!B9</f>
        <v>China</v>
      </c>
      <c r="B4" s="6" t="s">
        <v>45</v>
      </c>
      <c r="C4" s="32">
        <f>Wheat!D9</f>
        <v>8.7634570000000007</v>
      </c>
      <c r="D4" s="32">
        <f>Wheat!E9</f>
        <v>5.4775970000000003</v>
      </c>
      <c r="E4" s="32">
        <f>Wheat!F9</f>
        <v>162.24808200000001</v>
      </c>
      <c r="F4" s="32">
        <f>Wheat!G9</f>
        <v>558.09519299999999</v>
      </c>
      <c r="G4" s="32">
        <f>Wheat!H9</f>
        <v>873.57283800000005</v>
      </c>
      <c r="H4" s="23">
        <f t="shared" si="0"/>
        <v>0.56527568944676432</v>
      </c>
      <c r="I4" s="36">
        <f t="shared" si="1"/>
        <v>321.63143339999999</v>
      </c>
      <c r="J4" s="23">
        <f>IF(ISBLANK(G4),"",IF(ISNA(G4/AVERAGE(C4:G4)-1),"N/A",IF(ISERROR(G4/AVERAGE(C4:G4)-1),"N/A",G4/AVERAGE(C4:G4)-1)))</f>
        <v>1.7160679811838317</v>
      </c>
      <c r="K4" s="8" t="str">
        <f>Wheat!L9</f>
        <v>GTA (2023)</v>
      </c>
      <c r="L4" s="8" t="str">
        <f>Wheat!M9</f>
        <v>IHS Global Trade Atlas (GTA) (2023). Unpublished trade data accessed via subscription service. Last Accessed October 2023.</v>
      </c>
    </row>
    <row r="5" spans="1:12" x14ac:dyDescent="0.25">
      <c r="A5" s="37" t="str">
        <f>Wheat!B11</f>
        <v>Indonesia</v>
      </c>
      <c r="B5" s="6" t="s">
        <v>45</v>
      </c>
      <c r="C5" s="32">
        <f>Wheat!D10</f>
        <v>20.168037999999999</v>
      </c>
      <c r="D5" s="32">
        <f>Wheat!E10</f>
        <v>4.6854199999999997</v>
      </c>
      <c r="E5" s="32">
        <f>Wheat!F10</f>
        <v>264.67167699999999</v>
      </c>
      <c r="F5" s="32">
        <f>Wheat!G10</f>
        <v>693.68962299999998</v>
      </c>
      <c r="G5" s="32">
        <f>Wheat!H10</f>
        <v>593.48110099999997</v>
      </c>
      <c r="H5" s="23">
        <f t="shared" si="0"/>
        <v>-0.14445728850120054</v>
      </c>
      <c r="I5" s="36">
        <f t="shared" si="1"/>
        <v>315.33917179999997</v>
      </c>
      <c r="J5" s="23">
        <f t="shared" ref="J5:J71" si="2">IF(ISBLANK(G5),"",IF(ISNA(G5/AVERAGE(C5:G5)-1),"N/A",IF(ISERROR(G5/AVERAGE(C5:G5)-1),"N/A",G5/AVERAGE(C5:G5)-1)))</f>
        <v>0.88204052675196376</v>
      </c>
      <c r="K5" s="8" t="str">
        <f>Wheat!L10</f>
        <v>GTA (2023)</v>
      </c>
      <c r="L5" s="8" t="str">
        <f>Wheat!M10</f>
        <v>IHS Global Trade Atlas (GTA) (2023). Unpublished trade data accessed via subscription service. Last Accessed October 2023.</v>
      </c>
    </row>
    <row r="6" spans="1:12" x14ac:dyDescent="0.25">
      <c r="A6" s="37" t="str">
        <f>Wheat!B12</f>
        <v xml:space="preserve">Total </v>
      </c>
      <c r="B6" s="6" t="s">
        <v>45</v>
      </c>
      <c r="C6" s="32">
        <f>Wheat!D11</f>
        <v>0</v>
      </c>
      <c r="D6" s="32">
        <f>Wheat!E11</f>
        <v>0</v>
      </c>
      <c r="E6" s="32">
        <f>Wheat!F11</f>
        <v>282.534088</v>
      </c>
      <c r="F6" s="32">
        <f>Wheat!G11</f>
        <v>363.49632600000001</v>
      </c>
      <c r="G6" s="32">
        <f>Wheat!H11</f>
        <v>184.55249900000001</v>
      </c>
      <c r="H6" s="23">
        <f t="shared" si="0"/>
        <v>-0.49228510496692057</v>
      </c>
      <c r="I6" s="36">
        <f t="shared" si="1"/>
        <v>166.11658260000002</v>
      </c>
      <c r="J6" s="23">
        <f t="shared" si="2"/>
        <v>0.11098179430040833</v>
      </c>
      <c r="K6" s="8" t="str">
        <f>Wheat!L11</f>
        <v>GTA (2023)</v>
      </c>
      <c r="L6" s="8" t="str">
        <f>Wheat!M11</f>
        <v>IHS Global Trade Atlas (GTA) (2023). Unpublished trade data accessed via subscription service. Last Accessed October 2023.</v>
      </c>
    </row>
    <row r="7" spans="1:12" x14ac:dyDescent="0.25">
      <c r="A7" s="22" t="s">
        <v>263</v>
      </c>
      <c r="B7" s="6" t="s">
        <v>45</v>
      </c>
      <c r="C7" s="32">
        <f>Barley!D8</f>
        <v>0.21820300000000001</v>
      </c>
      <c r="D7" s="32">
        <f>Barley!E8</f>
        <v>0.50099199999999999</v>
      </c>
      <c r="E7" s="32">
        <f>Barley!F8</f>
        <v>48.929844000000003</v>
      </c>
      <c r="F7" s="32">
        <f>Barley!G8</f>
        <v>241.25100699999999</v>
      </c>
      <c r="G7" s="32">
        <f>Barley!H8</f>
        <v>54.396723999999999</v>
      </c>
      <c r="H7" s="23">
        <f t="shared" si="0"/>
        <v>-0.77452229246031701</v>
      </c>
      <c r="I7" s="36">
        <f t="shared" si="1"/>
        <v>69.059353999999999</v>
      </c>
      <c r="J7" s="23">
        <f t="shared" si="2"/>
        <v>-0.21231924642677658</v>
      </c>
      <c r="K7" s="8" t="str">
        <f>Barley!L8</f>
        <v>GTA (2023)</v>
      </c>
      <c r="L7" s="8" t="str">
        <f>Barley!M8</f>
        <v>IHS Global Trade Atlas (GTA) (2023). Unpublished trade data accessed via subscription service. Last Accessed October 2023.</v>
      </c>
    </row>
    <row r="8" spans="1:12" x14ac:dyDescent="0.25">
      <c r="A8" s="37" t="str">
        <f>Barley!B9</f>
        <v>Saudi Arabia</v>
      </c>
      <c r="B8" s="6" t="s">
        <v>45</v>
      </c>
      <c r="C8" s="32">
        <f>Barley!D9</f>
        <v>0</v>
      </c>
      <c r="D8" s="32">
        <f>Barley!E9</f>
        <v>0</v>
      </c>
      <c r="E8" s="32">
        <f>Barley!F9</f>
        <v>7.5123930000000003</v>
      </c>
      <c r="F8" s="32">
        <f>Barley!G9</f>
        <v>108.20795200000001</v>
      </c>
      <c r="G8" s="32">
        <f>Barley!H9</f>
        <v>30.861560999999998</v>
      </c>
      <c r="H8" s="23">
        <f t="shared" si="0"/>
        <v>-0.71479396449532651</v>
      </c>
      <c r="I8" s="36">
        <f t="shared" si="1"/>
        <v>29.316381200000002</v>
      </c>
      <c r="J8" s="23">
        <f t="shared" si="2"/>
        <v>5.2707044210490661E-2</v>
      </c>
      <c r="K8" s="8" t="str">
        <f>Barley!L9</f>
        <v>GTA (2023)</v>
      </c>
      <c r="L8" s="8" t="str">
        <f>Barley!M9</f>
        <v>IHS Global Trade Atlas (GTA) (2023). Unpublished trade data accessed via subscription service. Last Accessed October 2023.</v>
      </c>
    </row>
    <row r="9" spans="1:12" x14ac:dyDescent="0.25">
      <c r="A9" s="37" t="str">
        <f>Barley!B10</f>
        <v>Japan</v>
      </c>
      <c r="B9" s="6" t="s">
        <v>45</v>
      </c>
      <c r="C9" s="32">
        <f>Barley!D10</f>
        <v>0</v>
      </c>
      <c r="D9" s="32">
        <f>Barley!E10</f>
        <v>0.27900000000000003</v>
      </c>
      <c r="E9" s="32">
        <f>Barley!F10</f>
        <v>4.846241</v>
      </c>
      <c r="F9" s="32">
        <f>Barley!G10</f>
        <v>29.011966999999999</v>
      </c>
      <c r="G9" s="32">
        <f>Barley!H10</f>
        <v>14.829221</v>
      </c>
      <c r="H9" s="23">
        <f t="shared" si="0"/>
        <v>-0.48885847691747331</v>
      </c>
      <c r="I9" s="36">
        <f t="shared" si="1"/>
        <v>9.7932858000000014</v>
      </c>
      <c r="J9" s="23">
        <f t="shared" si="2"/>
        <v>0.51422324466421654</v>
      </c>
      <c r="K9" s="8" t="str">
        <f>Barley!L10</f>
        <v>GTA (2023)</v>
      </c>
      <c r="L9" s="8" t="str">
        <f>Barley!M10</f>
        <v>IHS Global Trade Atlas (GTA) (2023). Unpublished trade data accessed via subscription service. Last Accessed October 2023.</v>
      </c>
    </row>
    <row r="10" spans="1:12" x14ac:dyDescent="0.25">
      <c r="A10" s="37" t="str">
        <f>Barley!B11</f>
        <v>Kuwait</v>
      </c>
      <c r="B10" s="6" t="s">
        <v>45</v>
      </c>
      <c r="C10" s="32">
        <f>Barley!D11</f>
        <v>0</v>
      </c>
      <c r="D10" s="32">
        <f>Barley!E11</f>
        <v>0</v>
      </c>
      <c r="E10" s="32">
        <f>Barley!F11</f>
        <v>23.701777</v>
      </c>
      <c r="F10" s="32">
        <f>Barley!G11</f>
        <v>15.186493</v>
      </c>
      <c r="G10" s="32">
        <f>Barley!H11</f>
        <v>0</v>
      </c>
      <c r="H10" s="23">
        <f t="shared" si="0"/>
        <v>-1</v>
      </c>
      <c r="I10" s="36">
        <f t="shared" si="1"/>
        <v>7.7776540000000001</v>
      </c>
      <c r="J10" s="23">
        <f t="shared" si="2"/>
        <v>-1</v>
      </c>
      <c r="K10" s="8" t="str">
        <f>Barley!L11</f>
        <v>GTA (2023)</v>
      </c>
      <c r="L10" s="8" t="str">
        <f>Barley!M11</f>
        <v>IHS Global Trade Atlas (GTA) (2023). Unpublished trade data accessed via subscription service. Last Accessed October 2023.</v>
      </c>
    </row>
    <row r="11" spans="1:12" x14ac:dyDescent="0.25">
      <c r="A11" s="22" t="s">
        <v>9</v>
      </c>
      <c r="B11" s="6" t="s">
        <v>45</v>
      </c>
      <c r="C11" s="32">
        <f>Rice!D8</f>
        <v>14.767956999999999</v>
      </c>
      <c r="D11" s="32">
        <f>Rice!E8</f>
        <v>6.6231819999999999</v>
      </c>
      <c r="E11" s="32">
        <f>Rice!F8</f>
        <v>4.711722</v>
      </c>
      <c r="F11" s="32">
        <f>Rice!G8</f>
        <v>39.822009000000001</v>
      </c>
      <c r="G11" s="32">
        <f>Rice!H8</f>
        <v>62.803389000000003</v>
      </c>
      <c r="H11" s="23">
        <f t="shared" si="0"/>
        <v>0.57710247617090338</v>
      </c>
      <c r="I11" s="36">
        <f t="shared" si="1"/>
        <v>25.745651800000001</v>
      </c>
      <c r="J11" s="23">
        <f t="shared" si="2"/>
        <v>1.4393784817675503</v>
      </c>
      <c r="K11" s="8" t="str">
        <f>Rice!L8</f>
        <v>GTA (2023)</v>
      </c>
      <c r="L11" s="8" t="str">
        <f>Rice!M8</f>
        <v>IHS Global Trade Atlas (GTA) (2023). Unpublished trade data accessed via subscription service. Last Accessed October 2023.</v>
      </c>
    </row>
    <row r="12" spans="1:12" x14ac:dyDescent="0.25">
      <c r="A12" s="37" t="str">
        <f>Rice!B9</f>
        <v>Unidentified Country</v>
      </c>
      <c r="B12" s="6" t="s">
        <v>45</v>
      </c>
      <c r="C12" s="32">
        <f>Rice!D9</f>
        <v>14.142956999999999</v>
      </c>
      <c r="D12" s="32">
        <f>Rice!E9</f>
        <v>6.6062989999999999</v>
      </c>
      <c r="E12" s="32">
        <f>Rice!F9</f>
        <v>4.711722</v>
      </c>
      <c r="F12" s="32">
        <f>Rice!G9</f>
        <v>39.803350000000002</v>
      </c>
      <c r="G12" s="32">
        <f>Rice!H9</f>
        <v>62.713371000000002</v>
      </c>
      <c r="H12" s="23">
        <f t="shared" si="0"/>
        <v>0.57558022126278319</v>
      </c>
      <c r="I12" s="36">
        <f t="shared" si="1"/>
        <v>25.595539800000001</v>
      </c>
      <c r="J12" s="23">
        <f t="shared" si="2"/>
        <v>1.4501679390250639</v>
      </c>
      <c r="K12" s="8" t="str">
        <f>Rice!L9</f>
        <v>GTA (2023)</v>
      </c>
      <c r="L12" s="8" t="str">
        <f>Rice!M9</f>
        <v>IHS Global Trade Atlas (GTA) (2023). Unpublished trade data accessed via subscription service. Last Accessed October 2023.</v>
      </c>
    </row>
    <row r="13" spans="1:12" x14ac:dyDescent="0.25">
      <c r="A13" s="37" t="str">
        <f>Rice!B10</f>
        <v>Argentina</v>
      </c>
      <c r="B13" s="6" t="s">
        <v>45</v>
      </c>
      <c r="C13" s="32">
        <f>Rice!D10</f>
        <v>0</v>
      </c>
      <c r="D13" s="32">
        <f>Rice!E10</f>
        <v>0</v>
      </c>
      <c r="E13" s="32">
        <f>Rice!F10</f>
        <v>0</v>
      </c>
      <c r="F13" s="32">
        <f>Rice!G10</f>
        <v>5.3099999999999996E-3</v>
      </c>
      <c r="G13" s="32">
        <f>Rice!H10</f>
        <v>7.5450000000000003E-2</v>
      </c>
      <c r="H13" s="23">
        <f t="shared" si="0"/>
        <v>13.2090395480226</v>
      </c>
      <c r="I13" s="36">
        <f t="shared" si="1"/>
        <v>1.6152E-2</v>
      </c>
      <c r="J13" s="23">
        <f t="shared" si="2"/>
        <v>3.671248142644874</v>
      </c>
      <c r="K13" s="8" t="str">
        <f>Rice!L10</f>
        <v>GTA (2023)</v>
      </c>
      <c r="L13" s="8" t="str">
        <f>Rice!M10</f>
        <v>IHS Global Trade Atlas (GTA) (2023). Unpublished trade data accessed via subscription service. Last Accessed October 2023.</v>
      </c>
    </row>
    <row r="14" spans="1:12" x14ac:dyDescent="0.25">
      <c r="A14" s="22" t="s">
        <v>32</v>
      </c>
      <c r="B14" s="6" t="s">
        <v>45</v>
      </c>
      <c r="C14" s="32">
        <f>'Coarse Grains'!D8</f>
        <v>5.5922729999999996</v>
      </c>
      <c r="D14" s="32">
        <f>'Coarse Grains'!E8</f>
        <v>1.2930410000000001</v>
      </c>
      <c r="E14" s="32">
        <f>'Coarse Grains'!F8</f>
        <v>68.766856000000004</v>
      </c>
      <c r="F14" s="32">
        <f>'Coarse Grains'!G8</f>
        <v>230.96991</v>
      </c>
      <c r="G14" s="32">
        <f>'Coarse Grains'!H8</f>
        <v>408.98327999999998</v>
      </c>
      <c r="H14" s="23">
        <f t="shared" si="0"/>
        <v>0.77072104327355873</v>
      </c>
      <c r="I14" s="36">
        <f t="shared" si="1"/>
        <v>143.121072</v>
      </c>
      <c r="J14" s="23">
        <f t="shared" si="2"/>
        <v>1.8576035260551986</v>
      </c>
      <c r="K14" s="8" t="str">
        <f>'Coarse Grains'!L8</f>
        <v>GTA (2023)</v>
      </c>
      <c r="L14" s="8" t="str">
        <f>'Coarse Grains'!M8</f>
        <v>IHS Global Trade Atlas (GTA) (2023). Unpublished trade data accessed via subscription service. Last Accessed October 2023.</v>
      </c>
    </row>
    <row r="15" spans="1:12" x14ac:dyDescent="0.25">
      <c r="A15" s="37" t="str">
        <f>'Coarse Grains'!B9</f>
        <v>China</v>
      </c>
      <c r="B15" s="6" t="s">
        <v>45</v>
      </c>
      <c r="C15" s="32">
        <f>'Coarse Grains'!D9</f>
        <v>5.1218830000000004</v>
      </c>
      <c r="D15" s="32">
        <f>'Coarse Grains'!E9</f>
        <v>0.45589499999999999</v>
      </c>
      <c r="E15" s="32">
        <f>'Coarse Grains'!F9</f>
        <v>51.637512999999998</v>
      </c>
      <c r="F15" s="32">
        <f>'Coarse Grains'!G9</f>
        <v>225.38706199999999</v>
      </c>
      <c r="G15" s="32">
        <f>'Coarse Grains'!H9</f>
        <v>347.59965499999998</v>
      </c>
      <c r="H15" s="23">
        <f>IF(ISBLANK(G15),"N/A",IF(ISNA(G15/F15-1),"N/A",IF(ISERROR(G15/F15-1),"N/A",G15/F15-1)))</f>
        <v>0.5422342876096411</v>
      </c>
      <c r="I15" s="36">
        <f t="shared" si="1"/>
        <v>126.0404016</v>
      </c>
      <c r="J15" s="23">
        <f t="shared" si="2"/>
        <v>1.7578431248032458</v>
      </c>
      <c r="K15" s="8" t="str">
        <f>'Coarse Grains'!L9</f>
        <v>GTA (2023)</v>
      </c>
      <c r="L15" s="8" t="str">
        <f>'Coarse Grains'!M9</f>
        <v>IHS Global Trade Atlas (GTA) (2023). Unpublished trade data accessed via subscription service. Last Accessed October 2023.</v>
      </c>
    </row>
    <row r="16" spans="1:12" x14ac:dyDescent="0.25">
      <c r="A16" s="37" t="str">
        <f>'Coarse Grains'!B10</f>
        <v>Japan</v>
      </c>
      <c r="B16" s="6" t="s">
        <v>45</v>
      </c>
      <c r="C16" s="32">
        <f>'Coarse Grains'!D10</f>
        <v>9.9839999999999998E-2</v>
      </c>
      <c r="D16" s="32">
        <f>'Coarse Grains'!E10</f>
        <v>0.19223999999999999</v>
      </c>
      <c r="E16" s="32">
        <f>'Coarse Grains'!F10</f>
        <v>13.078875</v>
      </c>
      <c r="F16" s="32">
        <f>'Coarse Grains'!G10</f>
        <v>5.8000000000000003E-2</v>
      </c>
      <c r="G16" s="32">
        <f>'Coarse Grains'!H10</f>
        <v>57.389809</v>
      </c>
      <c r="H16" s="23">
        <f t="shared" si="0"/>
        <v>988.47946551724135</v>
      </c>
      <c r="I16" s="36">
        <f t="shared" si="1"/>
        <v>14.163752800000001</v>
      </c>
      <c r="J16" s="23">
        <f t="shared" si="2"/>
        <v>3.0518787506655718</v>
      </c>
      <c r="K16" s="8" t="str">
        <f>'Coarse Grains'!L10</f>
        <v>GTA (2023)</v>
      </c>
      <c r="L16" s="8" t="str">
        <f>'Coarse Grains'!M10</f>
        <v>IHS Global Trade Atlas (GTA) (2023). Unpublished trade data accessed via subscription service. Last Accessed October 2023.</v>
      </c>
    </row>
    <row r="17" spans="1:12" x14ac:dyDescent="0.25">
      <c r="A17" s="37" t="str">
        <f>'Coarse Grains'!B11</f>
        <v>Taiwan</v>
      </c>
      <c r="B17" s="6" t="s">
        <v>45</v>
      </c>
      <c r="C17" s="32">
        <f>'Coarse Grains'!D11</f>
        <v>0.16303599999999999</v>
      </c>
      <c r="D17" s="32">
        <f>'Coarse Grains'!E11</f>
        <v>0.225878</v>
      </c>
      <c r="E17" s="32">
        <f>'Coarse Grains'!F11</f>
        <v>1.5680270000000001</v>
      </c>
      <c r="F17" s="32">
        <f>'Coarse Grains'!G11</f>
        <v>1.17666</v>
      </c>
      <c r="G17" s="32">
        <f>'Coarse Grains'!H11</f>
        <v>1.4148480000000001</v>
      </c>
      <c r="H17" s="23">
        <f t="shared" si="0"/>
        <v>0.20242720921931578</v>
      </c>
      <c r="I17" s="36">
        <f t="shared" si="1"/>
        <v>0.90968979999999999</v>
      </c>
      <c r="J17" s="23">
        <f t="shared" si="2"/>
        <v>0.5553081940679121</v>
      </c>
      <c r="K17" s="8" t="str">
        <f>'Coarse Grains'!L11</f>
        <v>GTA (2023)</v>
      </c>
      <c r="L17" s="8" t="str">
        <f>'Coarse Grains'!M11</f>
        <v>IHS Global Trade Atlas (GTA) (2023). Unpublished trade data accessed via subscription service. Last Accessed October 2023.</v>
      </c>
    </row>
    <row r="18" spans="1:12" x14ac:dyDescent="0.25">
      <c r="A18" s="22" t="s">
        <v>10</v>
      </c>
      <c r="B18" s="6" t="s">
        <v>45</v>
      </c>
      <c r="C18" s="32">
        <f>Pulses!D9</f>
        <v>20.175578999999999</v>
      </c>
      <c r="D18" s="32">
        <f>Pulses!E9</f>
        <v>32.682865999999997</v>
      </c>
      <c r="E18" s="32">
        <f>Pulses!F9</f>
        <v>117.92167999999999</v>
      </c>
      <c r="F18" s="32">
        <f>Pulses!G9</f>
        <v>46.779173</v>
      </c>
      <c r="G18" s="32">
        <f>Pulses!H9</f>
        <v>76.582898999999998</v>
      </c>
      <c r="H18" s="23">
        <f t="shared" si="0"/>
        <v>0.637115282050839</v>
      </c>
      <c r="I18" s="36">
        <f t="shared" si="1"/>
        <v>58.828439400000001</v>
      </c>
      <c r="J18" s="23">
        <f t="shared" si="2"/>
        <v>0.30180062196244495</v>
      </c>
      <c r="K18" s="8" t="str">
        <f>Pulses!L9</f>
        <v>GTA (2023)</v>
      </c>
      <c r="L18" s="8" t="str">
        <f>Pulses!M9</f>
        <v>IHS Global Trade Atlas (GTA) (2023). Unpublished trade data accessed via subscription service. Last Accessed October 2023.</v>
      </c>
    </row>
    <row r="19" spans="1:12" x14ac:dyDescent="0.25">
      <c r="A19" s="37" t="str">
        <f>Pulses!B10</f>
        <v>Pakistan</v>
      </c>
      <c r="B19" s="6" t="s">
        <v>45</v>
      </c>
      <c r="C19" s="32">
        <f>Pulses!D10</f>
        <v>13.109811000000001</v>
      </c>
      <c r="D19" s="32">
        <f>Pulses!E10</f>
        <v>9.2145679999999999</v>
      </c>
      <c r="E19" s="32">
        <f>Pulses!F10</f>
        <v>15.039495000000001</v>
      </c>
      <c r="F19" s="32">
        <f>Pulses!G10</f>
        <v>20.996089000000001</v>
      </c>
      <c r="G19" s="32">
        <f>Pulses!H10</f>
        <v>21.326419000000001</v>
      </c>
      <c r="H19" s="23">
        <f t="shared" si="0"/>
        <v>1.5732930070929019E-2</v>
      </c>
      <c r="I19" s="36">
        <f t="shared" si="1"/>
        <v>15.937276400000002</v>
      </c>
      <c r="J19" s="23">
        <f t="shared" si="2"/>
        <v>0.33814702492076987</v>
      </c>
      <c r="K19" s="8" t="str">
        <f>Pulses!L10</f>
        <v>GTA (2023)</v>
      </c>
      <c r="L19" s="8" t="str">
        <f>Pulses!M10</f>
        <v>IHS Global Trade Atlas (GTA) (2023). Unpublished trade data accessed via subscription service. Last Accessed October 2023.</v>
      </c>
    </row>
    <row r="20" spans="1:12" x14ac:dyDescent="0.25">
      <c r="A20" s="37" t="str">
        <f>Pulses!B11</f>
        <v>India</v>
      </c>
      <c r="B20" s="6" t="s">
        <v>45</v>
      </c>
      <c r="C20" s="32">
        <f>Pulses!D11</f>
        <v>14.817441000000001</v>
      </c>
      <c r="D20" s="32">
        <f>Pulses!E11</f>
        <v>8.0937819999999991</v>
      </c>
      <c r="E20" s="32">
        <f>Pulses!F11</f>
        <v>41.505887999999999</v>
      </c>
      <c r="F20" s="32">
        <f>Pulses!G11</f>
        <v>60.564587000000003</v>
      </c>
      <c r="G20" s="32">
        <f>Pulses!H11</f>
        <v>17.843775999999998</v>
      </c>
      <c r="H20" s="23">
        <f t="shared" si="0"/>
        <v>-0.70537608057989409</v>
      </c>
      <c r="I20" s="36">
        <f t="shared" si="1"/>
        <v>28.565094800000004</v>
      </c>
      <c r="J20" s="23">
        <f t="shared" si="2"/>
        <v>-0.37532936176357468</v>
      </c>
      <c r="K20" s="8" t="str">
        <f>Pulses!L11</f>
        <v>GTA (2023)</v>
      </c>
      <c r="L20" s="8" t="str">
        <f>Pulses!M11</f>
        <v>IHS Global Trade Atlas (GTA) (2023). Unpublished trade data accessed via subscription service. Last Accessed October 2023.</v>
      </c>
    </row>
    <row r="21" spans="1:12" x14ac:dyDescent="0.25">
      <c r="A21" s="37" t="str">
        <f>Pulses!B12</f>
        <v xml:space="preserve">Total </v>
      </c>
      <c r="B21" s="6" t="s">
        <v>45</v>
      </c>
      <c r="C21" s="32">
        <f>Pulses!D12</f>
        <v>13.4519041</v>
      </c>
      <c r="D21" s="32">
        <f>Pulses!E12</f>
        <v>15.87296199</v>
      </c>
      <c r="E21" s="32">
        <f>Pulses!F12</f>
        <v>15.576629969999999</v>
      </c>
      <c r="F21" s="32">
        <f>Pulses!G12</f>
        <v>15.93127982</v>
      </c>
      <c r="G21" s="32">
        <f>Pulses!H12</f>
        <v>13.8134792</v>
      </c>
      <c r="H21" s="23">
        <f t="shared" si="0"/>
        <v>-0.1329334895832619</v>
      </c>
      <c r="I21" s="36">
        <f t="shared" si="1"/>
        <v>14.929251016</v>
      </c>
      <c r="J21" s="23">
        <f t="shared" si="2"/>
        <v>-7.4737293572477492E-2</v>
      </c>
      <c r="K21" s="8" t="str">
        <f>Pulses!L12</f>
        <v>GTA (2023)</v>
      </c>
      <c r="L21" s="8" t="str">
        <f>Pulses!M12</f>
        <v>IHS Global Trade Atlas (GTA) (2023). Unpublished trade data accessed via subscription service. Last Accessed October 2023.</v>
      </c>
    </row>
    <row r="22" spans="1:12" x14ac:dyDescent="0.25">
      <c r="A22" s="22" t="s">
        <v>11</v>
      </c>
      <c r="B22" s="6" t="s">
        <v>45</v>
      </c>
      <c r="C22" s="32">
        <f>Oilseeds!D9</f>
        <v>18.198782999999999</v>
      </c>
      <c r="D22" s="32">
        <f>Oilseeds!E9</f>
        <v>3.7835220000000001</v>
      </c>
      <c r="E22" s="32">
        <f>Oilseeds!F9</f>
        <v>448.80657000000002</v>
      </c>
      <c r="F22" s="32">
        <f>Oilseeds!G9</f>
        <v>1007.001448</v>
      </c>
      <c r="G22" s="32">
        <f>Oilseeds!H9</f>
        <v>866.21343899999999</v>
      </c>
      <c r="H22" s="23">
        <f t="shared" si="0"/>
        <v>-0.13980914255845245</v>
      </c>
      <c r="I22" s="36">
        <f t="shared" si="1"/>
        <v>468.80075239999996</v>
      </c>
      <c r="J22" s="23">
        <f t="shared" si="2"/>
        <v>0.84772194704353043</v>
      </c>
      <c r="K22" s="8" t="str">
        <f>Oilseeds!L9</f>
        <v>GTA (2023)</v>
      </c>
      <c r="L22" s="8" t="str">
        <f>Oilseeds!M9</f>
        <v>IHS Global Trade Atlas (GTA) (2023). Unpublished trade data accessed via subscription service. Last Accessed October 2023.</v>
      </c>
    </row>
    <row r="23" spans="1:12" x14ac:dyDescent="0.25">
      <c r="A23" s="37" t="str">
        <f>Oilseeds!B10</f>
        <v>Belgium</v>
      </c>
      <c r="B23" s="6" t="s">
        <v>45</v>
      </c>
      <c r="C23" s="32">
        <f>Oilseeds!D10</f>
        <v>0</v>
      </c>
      <c r="D23" s="32">
        <f>Oilseeds!E10</f>
        <v>0</v>
      </c>
      <c r="E23" s="32">
        <f>Oilseeds!F10</f>
        <v>145.15274199999999</v>
      </c>
      <c r="F23" s="32">
        <f>Oilseeds!G10</f>
        <v>208.82745</v>
      </c>
      <c r="G23" s="32">
        <f>Oilseeds!H10</f>
        <v>310.64214099999998</v>
      </c>
      <c r="H23" s="23">
        <f t="shared" si="0"/>
        <v>0.48755415535649171</v>
      </c>
      <c r="I23" s="36">
        <f t="shared" si="1"/>
        <v>132.92446660000002</v>
      </c>
      <c r="J23" s="23">
        <f t="shared" si="2"/>
        <v>1.3369824152448393</v>
      </c>
      <c r="K23" s="8" t="str">
        <f>Oilseeds!L10</f>
        <v>GTA (2023)</v>
      </c>
      <c r="L23" s="8" t="str">
        <f>Oilseeds!M10</f>
        <v>IHS Global Trade Atlas (GTA) (2023). Unpublished trade data accessed via subscription service. Last Accessed October 2023.</v>
      </c>
    </row>
    <row r="24" spans="1:12" x14ac:dyDescent="0.25">
      <c r="A24" s="37" t="str">
        <f>Oilseeds!B11</f>
        <v>United Arab Emirates</v>
      </c>
      <c r="B24" s="6" t="s">
        <v>45</v>
      </c>
      <c r="C24" s="32">
        <f>Oilseeds!D11</f>
        <v>0</v>
      </c>
      <c r="D24" s="32">
        <f>Oilseeds!E11</f>
        <v>0.48569200000000001</v>
      </c>
      <c r="E24" s="32">
        <f>Oilseeds!F11</f>
        <v>0.63753499999999996</v>
      </c>
      <c r="F24" s="32">
        <f>Oilseeds!G11</f>
        <v>1.2099999999999999E-3</v>
      </c>
      <c r="G24" s="32">
        <f>Oilseeds!H11</f>
        <v>163.35883899999999</v>
      </c>
      <c r="H24" s="23">
        <f t="shared" si="0"/>
        <v>135006.30495867768</v>
      </c>
      <c r="I24" s="36">
        <f t="shared" si="1"/>
        <v>32.896655199999998</v>
      </c>
      <c r="J24" s="23">
        <f t="shared" si="2"/>
        <v>3.9658191085639611</v>
      </c>
      <c r="K24" s="8" t="str">
        <f>Oilseeds!L11</f>
        <v>GTA (2023)</v>
      </c>
      <c r="L24" s="8" t="str">
        <f>Oilseeds!M11</f>
        <v>IHS Global Trade Atlas (GTA) (2023). Unpublished trade data accessed via subscription service. Last Accessed October 2023.</v>
      </c>
    </row>
    <row r="25" spans="1:12" x14ac:dyDescent="0.25">
      <c r="A25" s="37" t="str">
        <f>Oilseeds!B12</f>
        <v>Germany</v>
      </c>
      <c r="B25" s="6" t="s">
        <v>45</v>
      </c>
      <c r="C25" s="32">
        <f>Oilseeds!D12</f>
        <v>0</v>
      </c>
      <c r="D25" s="32">
        <f>Oilseeds!E12</f>
        <v>0</v>
      </c>
      <c r="E25" s="32">
        <f>Oilseeds!F12</f>
        <v>124.311142</v>
      </c>
      <c r="F25" s="32">
        <f>Oilseeds!G12</f>
        <v>454.89263799999998</v>
      </c>
      <c r="G25" s="32">
        <f>Oilseeds!H12</f>
        <v>105.30793</v>
      </c>
      <c r="H25" s="23">
        <f t="shared" si="0"/>
        <v>-0.76849937501076904</v>
      </c>
      <c r="I25" s="36">
        <f t="shared" si="1"/>
        <v>136.902342</v>
      </c>
      <c r="J25" s="23">
        <f t="shared" si="2"/>
        <v>-0.23078065384739732</v>
      </c>
      <c r="K25" s="8" t="str">
        <f>Oilseeds!L12</f>
        <v>GTA (2023)</v>
      </c>
      <c r="L25" s="8" t="str">
        <f>Oilseeds!M12</f>
        <v>IHS Global Trade Atlas (GTA) (2023). Unpublished trade data accessed via subscription service. Last Accessed October 2023.</v>
      </c>
    </row>
    <row r="26" spans="1:12" x14ac:dyDescent="0.25">
      <c r="A26" s="134" t="s">
        <v>264</v>
      </c>
      <c r="B26" s="6" t="s">
        <v>45</v>
      </c>
      <c r="C26" s="32">
        <f>'Cotton Lint'!D8</f>
        <v>0.113216</v>
      </c>
      <c r="D26" s="32">
        <f>'Cotton Lint'!E8</f>
        <v>2.7900000000000001E-4</v>
      </c>
      <c r="E26" s="32">
        <f>'Cotton Lint'!F8</f>
        <v>8.4999999999999995E-4</v>
      </c>
      <c r="F26" s="32">
        <f>'Cotton Lint'!G8</f>
        <v>9.7540000000000005E-3</v>
      </c>
      <c r="G26" s="32">
        <f>'Cotton Lint'!H8</f>
        <v>1.4662E-2</v>
      </c>
      <c r="H26" s="23">
        <f t="shared" si="0"/>
        <v>0.50317818330941133</v>
      </c>
      <c r="I26" s="36">
        <f t="shared" si="1"/>
        <v>2.7752199999999998E-2</v>
      </c>
      <c r="J26" s="23">
        <f t="shared" si="2"/>
        <v>-0.47168152434761923</v>
      </c>
      <c r="K26" s="38" t="str">
        <f>'Cotton Lint'!L8</f>
        <v>GTA (2023)</v>
      </c>
      <c r="L26" s="38" t="str">
        <f>'Cotton Lint'!M8</f>
        <v>IHS Global Trade Atlas (GTA) (2023). Unpublished trade data accessed via subscription service. Last Accessed October 2023.</v>
      </c>
    </row>
    <row r="27" spans="1:12" x14ac:dyDescent="0.25">
      <c r="A27" s="37" t="str">
        <f>+'Cotton Lint'!B9</f>
        <v>New Zealand</v>
      </c>
      <c r="B27" s="6" t="s">
        <v>45</v>
      </c>
      <c r="C27" s="32">
        <f>'Cotton Lint'!D9</f>
        <v>0</v>
      </c>
      <c r="D27" s="32">
        <f>'Cotton Lint'!E9</f>
        <v>2.7900000000000001E-4</v>
      </c>
      <c r="E27" s="32">
        <f>'Cotton Lint'!F9</f>
        <v>0</v>
      </c>
      <c r="F27" s="32">
        <f>'Cotton Lint'!G9</f>
        <v>0</v>
      </c>
      <c r="G27" s="32">
        <f>'Cotton Lint'!H9</f>
        <v>1.4446000000000001E-2</v>
      </c>
      <c r="H27" s="23" t="str">
        <f t="shared" si="0"/>
        <v>N/A</v>
      </c>
      <c r="I27" s="36">
        <f t="shared" si="1"/>
        <v>2.9450000000000001E-3</v>
      </c>
      <c r="J27" s="23">
        <f t="shared" si="2"/>
        <v>3.905263157894737</v>
      </c>
      <c r="K27" s="38" t="str">
        <f>'Cotton Lint'!L9</f>
        <v>GTA (2023)</v>
      </c>
      <c r="L27" s="38" t="str">
        <f>'Cotton Lint'!M9</f>
        <v>IHS Global Trade Atlas (GTA) (2023). Unpublished trade data accessed via subscription service. Last Accessed October 2023.</v>
      </c>
    </row>
    <row r="28" spans="1:12" x14ac:dyDescent="0.25">
      <c r="A28" s="37" t="str">
        <f>+'Cotton Lint'!B10</f>
        <v>Maldives</v>
      </c>
      <c r="B28" s="6" t="s">
        <v>45</v>
      </c>
      <c r="C28" s="32">
        <f>'Cotton Lint'!D10</f>
        <v>0</v>
      </c>
      <c r="D28" s="32">
        <f>'Cotton Lint'!E10</f>
        <v>0</v>
      </c>
      <c r="E28" s="32">
        <f>'Cotton Lint'!F10</f>
        <v>0</v>
      </c>
      <c r="F28" s="32">
        <f>'Cotton Lint'!G10</f>
        <v>9.3939999999999996E-3</v>
      </c>
      <c r="G28" s="32">
        <f>'Cotton Lint'!H10</f>
        <v>0</v>
      </c>
      <c r="H28" s="23">
        <f t="shared" si="0"/>
        <v>-1</v>
      </c>
      <c r="I28" s="36">
        <f t="shared" si="1"/>
        <v>1.8787999999999999E-3</v>
      </c>
      <c r="J28" s="23">
        <f t="shared" si="2"/>
        <v>-1</v>
      </c>
      <c r="K28" s="38" t="str">
        <f>'Cotton Lint'!L10</f>
        <v>GTA (2023)</v>
      </c>
      <c r="L28" s="38" t="str">
        <f>'Cotton Lint'!M10</f>
        <v>IHS Global Trade Atlas (GTA) (2023). Unpublished trade data accessed via subscription service. Last Accessed October 2023.</v>
      </c>
    </row>
    <row r="29" spans="1:12" x14ac:dyDescent="0.25">
      <c r="A29" s="37" t="str">
        <f>+'Cotton Lint'!B11</f>
        <v>Taiwan</v>
      </c>
      <c r="B29" s="6" t="s">
        <v>45</v>
      </c>
      <c r="C29" s="32">
        <f>'Cotton Lint'!D11</f>
        <v>0.10734399999999999</v>
      </c>
      <c r="D29" s="32">
        <f>'Cotton Lint'!E11</f>
        <v>0</v>
      </c>
      <c r="E29" s="32">
        <f>'Cotton Lint'!F11</f>
        <v>0</v>
      </c>
      <c r="F29" s="32">
        <f>'Cotton Lint'!G11</f>
        <v>0</v>
      </c>
      <c r="G29" s="32">
        <f>'Cotton Lint'!H11</f>
        <v>0</v>
      </c>
      <c r="H29" s="23" t="str">
        <f t="shared" si="0"/>
        <v>N/A</v>
      </c>
      <c r="I29" s="36">
        <f t="shared" si="1"/>
        <v>2.14688E-2</v>
      </c>
      <c r="J29" s="23">
        <f t="shared" si="2"/>
        <v>-1</v>
      </c>
      <c r="K29" s="38" t="str">
        <f>'Cotton Lint'!L11</f>
        <v>GTA (2023)</v>
      </c>
      <c r="L29" s="38" t="str">
        <f>'Cotton Lint'!M11</f>
        <v>IHS Global Trade Atlas (GTA) (2023). Unpublished trade data accessed via subscription service. Last Accessed October 2023.</v>
      </c>
    </row>
    <row r="30" spans="1:12" x14ac:dyDescent="0.25">
      <c r="A30" s="22" t="s">
        <v>13</v>
      </c>
      <c r="B30" s="6" t="s">
        <v>45</v>
      </c>
      <c r="C30" s="32">
        <f>Sugarcane!D9</f>
        <v>1.925125</v>
      </c>
      <c r="D30" s="32">
        <f>Sugarcane!E9</f>
        <v>2.7363599999999999</v>
      </c>
      <c r="E30" s="32">
        <f>Sugarcane!F9</f>
        <v>1.7270749999999999</v>
      </c>
      <c r="F30" s="32">
        <f>Sugarcane!G9</f>
        <v>2.3368959999999999</v>
      </c>
      <c r="G30" s="32">
        <f>Sugarcane!H9</f>
        <v>3.1451389999999999</v>
      </c>
      <c r="H30" s="23">
        <f t="shared" si="0"/>
        <v>0.34586177562030995</v>
      </c>
      <c r="I30" s="36">
        <f t="shared" si="1"/>
        <v>2.3741189999999999</v>
      </c>
      <c r="J30" s="23">
        <f t="shared" si="2"/>
        <v>0.32476046904135814</v>
      </c>
      <c r="K30" s="8" t="str">
        <f>Sugarcane!L9</f>
        <v>GTA (2023)</v>
      </c>
      <c r="L30" s="8" t="str">
        <f>Sugarcane!M9</f>
        <v>IHS Global Trade Atlas (GTA) (2023). Unpublished trade data accessed via subscription service. Last Accessed October 2023.</v>
      </c>
    </row>
    <row r="31" spans="1:12" x14ac:dyDescent="0.25">
      <c r="A31" s="37" t="str">
        <f>Sugarcane!B10</f>
        <v>New Zealand</v>
      </c>
      <c r="B31" s="6" t="s">
        <v>45</v>
      </c>
      <c r="C31" s="32">
        <f>Sugarcane!D10</f>
        <v>0.35948400000000003</v>
      </c>
      <c r="D31" s="32">
        <f>Sugarcane!E10</f>
        <v>1.6306259999999999</v>
      </c>
      <c r="E31" s="32">
        <f>Sugarcane!F10</f>
        <v>1.4304140000000001</v>
      </c>
      <c r="F31" s="32">
        <f>Sugarcane!G10</f>
        <v>1.6573450000000001</v>
      </c>
      <c r="G31" s="32">
        <f>Sugarcane!H10</f>
        <v>2.1977730000000002</v>
      </c>
      <c r="H31" s="23">
        <f t="shared" si="0"/>
        <v>0.32608056862029344</v>
      </c>
      <c r="I31" s="36">
        <f t="shared" si="1"/>
        <v>1.4551284000000002</v>
      </c>
      <c r="J31" s="23">
        <f t="shared" si="2"/>
        <v>0.51036362151958548</v>
      </c>
      <c r="K31" s="8" t="str">
        <f>Sugarcane!L10</f>
        <v>GTA (2023)</v>
      </c>
      <c r="L31" s="8" t="str">
        <f>Sugarcane!M10</f>
        <v>IHS Global Trade Atlas (GTA) (2023). Unpublished trade data accessed via subscription service. Last Accessed October 2023.</v>
      </c>
    </row>
    <row r="32" spans="1:12" x14ac:dyDescent="0.25">
      <c r="A32" s="37" t="str">
        <f>Sugarcane!B11</f>
        <v>Singapore</v>
      </c>
      <c r="B32" s="6" t="s">
        <v>45</v>
      </c>
      <c r="C32" s="32">
        <f>Sugarcane!D11</f>
        <v>0.28189199999999998</v>
      </c>
      <c r="D32" s="32">
        <f>Sugarcane!E11</f>
        <v>0.107414</v>
      </c>
      <c r="E32" s="32">
        <f>Sugarcane!F11</f>
        <v>6.6480000000000003E-3</v>
      </c>
      <c r="F32" s="32">
        <f>Sugarcane!G11</f>
        <v>1.1076000000000001E-2</v>
      </c>
      <c r="G32" s="32">
        <f>Sugarcane!H11</f>
        <v>0.21870100000000001</v>
      </c>
      <c r="H32" s="23">
        <f t="shared" si="0"/>
        <v>18.745485734922354</v>
      </c>
      <c r="I32" s="36">
        <f t="shared" si="1"/>
        <v>0.12514619999999999</v>
      </c>
      <c r="J32" s="23">
        <f t="shared" si="2"/>
        <v>0.74756404908818674</v>
      </c>
      <c r="K32" s="8" t="str">
        <f>Sugarcane!L11</f>
        <v>GTA (2023)</v>
      </c>
      <c r="L32" s="8" t="str">
        <f>Sugarcane!M11</f>
        <v>IHS Global Trade Atlas (GTA) (2023). Unpublished trade data accessed via subscription service. Last Accessed October 2023.</v>
      </c>
    </row>
    <row r="33" spans="1:12" x14ac:dyDescent="0.25">
      <c r="A33" s="37" t="str">
        <f>Sugarcane!B12</f>
        <v>Papua New Guinea</v>
      </c>
      <c r="B33" s="6" t="s">
        <v>45</v>
      </c>
      <c r="C33" s="32">
        <f>Sugarcane!D12</f>
        <v>0.678817</v>
      </c>
      <c r="D33" s="32">
        <f>Sugarcane!E12</f>
        <v>4.8578000000000003E-2</v>
      </c>
      <c r="E33" s="32">
        <f>Sugarcane!F12</f>
        <v>2.1724E-2</v>
      </c>
      <c r="F33" s="32">
        <f>Sugarcane!G12</f>
        <v>0.17243700000000001</v>
      </c>
      <c r="G33" s="32">
        <f>Sugarcane!H12</f>
        <v>0.16331000000000001</v>
      </c>
      <c r="H33" s="23">
        <f t="shared" si="0"/>
        <v>-5.2929475692571781E-2</v>
      </c>
      <c r="I33" s="36">
        <f t="shared" si="1"/>
        <v>0.21697320000000003</v>
      </c>
      <c r="J33" s="23">
        <f t="shared" si="2"/>
        <v>-0.24732639791458122</v>
      </c>
      <c r="K33" s="8" t="str">
        <f>Sugarcane!L12</f>
        <v>GTA (2023)</v>
      </c>
      <c r="L33" s="8" t="str">
        <f>Sugarcane!M12</f>
        <v>IHS Global Trade Atlas (GTA) (2023). Unpublished trade data accessed via subscription service. Last Accessed October 2023.</v>
      </c>
    </row>
    <row r="34" spans="1:12" x14ac:dyDescent="0.25">
      <c r="A34" s="9" t="s">
        <v>265</v>
      </c>
      <c r="B34" s="9" t="s">
        <v>45</v>
      </c>
      <c r="C34" s="33">
        <f>SUM(C35)</f>
        <v>458.23013600000002</v>
      </c>
      <c r="D34" s="33">
        <f t="shared" ref="D34:G34" si="3">SUM(D35)</f>
        <v>461.71497599999998</v>
      </c>
      <c r="E34" s="33">
        <f t="shared" si="3"/>
        <v>288.29758299999997</v>
      </c>
      <c r="F34" s="33">
        <f t="shared" si="3"/>
        <v>297.43630100000001</v>
      </c>
      <c r="G34" s="33">
        <f t="shared" si="3"/>
        <v>287.85416900000001</v>
      </c>
      <c r="H34" s="21">
        <f t="shared" si="0"/>
        <v>-3.221574491003365E-2</v>
      </c>
      <c r="I34" s="31">
        <f t="shared" si="1"/>
        <v>358.70663299999995</v>
      </c>
      <c r="J34" s="21">
        <f t="shared" si="2"/>
        <v>-0.19752203467059937</v>
      </c>
      <c r="K34" s="25"/>
      <c r="L34" s="25"/>
    </row>
    <row r="35" spans="1:12" x14ac:dyDescent="0.25">
      <c r="A35" s="22" t="s">
        <v>14</v>
      </c>
      <c r="B35" s="6" t="s">
        <v>45</v>
      </c>
      <c r="C35" s="32">
        <f>Horticulture!D15</f>
        <v>458.23013600000002</v>
      </c>
      <c r="D35" s="32">
        <f>Horticulture!E15</f>
        <v>461.71497599999998</v>
      </c>
      <c r="E35" s="32">
        <f>Horticulture!F15</f>
        <v>288.29758299999997</v>
      </c>
      <c r="F35" s="32">
        <f>Horticulture!G15</f>
        <v>297.43630100000001</v>
      </c>
      <c r="G35" s="32">
        <f>Horticulture!H15</f>
        <v>287.85416900000001</v>
      </c>
      <c r="H35" s="23">
        <f t="shared" si="0"/>
        <v>-3.221574491003365E-2</v>
      </c>
      <c r="I35" s="36">
        <f t="shared" si="1"/>
        <v>358.70663299999995</v>
      </c>
      <c r="J35" s="23">
        <f t="shared" si="2"/>
        <v>-0.19752203467059937</v>
      </c>
      <c r="K35" s="8" t="str">
        <f>Horticulture!L15</f>
        <v>GTA (2023)</v>
      </c>
      <c r="L35" s="8" t="str">
        <f>Horticulture!M15</f>
        <v>IHS Global Trade Atlas (GTA) (2023). Unpublished trade data accessed via subscription service. Last Accessed October 2023.</v>
      </c>
    </row>
    <row r="36" spans="1:12" x14ac:dyDescent="0.25">
      <c r="A36" s="37" t="str">
        <f>Horticulture!B16</f>
        <v>China</v>
      </c>
      <c r="B36" s="6" t="s">
        <v>45</v>
      </c>
      <c r="C36" s="32">
        <f>Horticulture!D16</f>
        <v>101.623346</v>
      </c>
      <c r="D36" s="32">
        <f>Horticulture!E16</f>
        <v>128.267653</v>
      </c>
      <c r="E36" s="32">
        <f>Horticulture!F16</f>
        <v>58.749277999999997</v>
      </c>
      <c r="F36" s="32">
        <f>Horticulture!G16</f>
        <v>54.332087999999999</v>
      </c>
      <c r="G36" s="32">
        <f>Horticulture!H16</f>
        <v>64.160506999999996</v>
      </c>
      <c r="H36" s="23">
        <f t="shared" si="0"/>
        <v>0.18089529340377997</v>
      </c>
      <c r="I36" s="36">
        <f t="shared" si="1"/>
        <v>81.426574399999993</v>
      </c>
      <c r="J36" s="23">
        <f t="shared" si="2"/>
        <v>-0.21204462458634388</v>
      </c>
      <c r="K36" s="8" t="str">
        <f>Horticulture!L16</f>
        <v>GTA (2023)</v>
      </c>
      <c r="L36" s="8" t="str">
        <f>Horticulture!M16</f>
        <v>IHS Global Trade Atlas (GTA) (2023). Unpublished trade data accessed via subscription service. Last Accessed October 2023.</v>
      </c>
    </row>
    <row r="37" spans="1:12" x14ac:dyDescent="0.25">
      <c r="A37" s="37" t="str">
        <f>Horticulture!B17</f>
        <v>Japan</v>
      </c>
      <c r="B37" s="6" t="s">
        <v>45</v>
      </c>
      <c r="C37" s="32">
        <f>Horticulture!D17</f>
        <v>56.570425999999998</v>
      </c>
      <c r="D37" s="32">
        <f>Horticulture!E17</f>
        <v>50.645496999999999</v>
      </c>
      <c r="E37" s="32">
        <f>Horticulture!F17</f>
        <v>35.594763999999998</v>
      </c>
      <c r="F37" s="32">
        <f>Horticulture!G17</f>
        <v>30.898945000000001</v>
      </c>
      <c r="G37" s="32">
        <f>Horticulture!H17</f>
        <v>26.387848000000002</v>
      </c>
      <c r="H37" s="23">
        <f t="shared" si="0"/>
        <v>-0.14599517879979396</v>
      </c>
      <c r="I37" s="36">
        <f t="shared" si="1"/>
        <v>40.019495999999997</v>
      </c>
      <c r="J37" s="23">
        <f t="shared" si="2"/>
        <v>-0.34062517928761515</v>
      </c>
      <c r="K37" s="8" t="str">
        <f>Horticulture!L17</f>
        <v>GTA (2023)</v>
      </c>
      <c r="L37" s="8" t="str">
        <f>Horticulture!M17</f>
        <v>IHS Global Trade Atlas (GTA) (2023). Unpublished trade data accessed via subscription service. Last Accessed October 2023.</v>
      </c>
    </row>
    <row r="38" spans="1:12" x14ac:dyDescent="0.25">
      <c r="A38" s="37" t="str">
        <f>Horticulture!B18</f>
        <v>Hong Kong</v>
      </c>
      <c r="B38" s="6" t="s">
        <v>45</v>
      </c>
      <c r="C38" s="32">
        <f>Horticulture!D18</f>
        <v>29.730609000000001</v>
      </c>
      <c r="D38" s="32">
        <f>Horticulture!E18</f>
        <v>22.837375000000002</v>
      </c>
      <c r="E38" s="32">
        <f>Horticulture!F18</f>
        <v>23.309222999999999</v>
      </c>
      <c r="F38" s="32">
        <f>Horticulture!G18</f>
        <v>26.986765999999999</v>
      </c>
      <c r="G38" s="32">
        <f>Horticulture!H18</f>
        <v>23.092497999999999</v>
      </c>
      <c r="H38" s="23">
        <f t="shared" si="0"/>
        <v>-0.14430287793654117</v>
      </c>
      <c r="I38" s="36">
        <f t="shared" si="1"/>
        <v>25.191294199999998</v>
      </c>
      <c r="J38" s="23">
        <f t="shared" si="2"/>
        <v>-8.3314345953690583E-2</v>
      </c>
      <c r="K38" s="8" t="str">
        <f>Horticulture!L18</f>
        <v>GTA (2023)</v>
      </c>
      <c r="L38" s="8" t="str">
        <f>Horticulture!M18</f>
        <v>IHS Global Trade Atlas (GTA) (2023). Unpublished trade data accessed via subscription service. Last Accessed October 2023.</v>
      </c>
    </row>
    <row r="39" spans="1:12" x14ac:dyDescent="0.25">
      <c r="A39" s="22" t="s">
        <v>272</v>
      </c>
      <c r="B39" s="6" t="s">
        <v>45</v>
      </c>
      <c r="C39" s="32">
        <f>Wine!D8</f>
        <v>539.84796500000004</v>
      </c>
      <c r="D39" s="32">
        <f>Wine!E8</f>
        <v>550.59447999999998</v>
      </c>
      <c r="E39" s="32">
        <f>Wine!F8</f>
        <v>519.95409800000004</v>
      </c>
      <c r="F39" s="32">
        <f>Wine!G8</f>
        <v>469.90477900000002</v>
      </c>
      <c r="G39" s="32">
        <f>Wine!H8</f>
        <v>414.72675299999997</v>
      </c>
      <c r="H39" s="23">
        <f t="shared" si="0"/>
        <v>-0.11742384514033655</v>
      </c>
      <c r="I39" s="36">
        <f t="shared" si="1"/>
        <v>499.00561500000003</v>
      </c>
      <c r="J39" s="23">
        <f t="shared" si="2"/>
        <v>-0.16889361455381635</v>
      </c>
      <c r="K39" s="8" t="str">
        <f>Wine!L8</f>
        <v>GTA (2023)</v>
      </c>
      <c r="L39" s="8" t="str">
        <f>Wine!M8</f>
        <v>IHS Global Trade Atlas (GTA) (2023). Unpublished trade data accessed via subscription service. Last Accessed October 2023.</v>
      </c>
    </row>
    <row r="40" spans="1:12" x14ac:dyDescent="0.25">
      <c r="A40" s="37" t="str">
        <f>Wine!B9</f>
        <v>United States</v>
      </c>
      <c r="B40" s="6" t="s">
        <v>45</v>
      </c>
      <c r="C40" s="32">
        <f>Wine!D9</f>
        <v>244.55725899999999</v>
      </c>
      <c r="D40" s="32">
        <f>Wine!E9</f>
        <v>251.65068600000001</v>
      </c>
      <c r="E40" s="32">
        <f>Wine!F9</f>
        <v>227.615216</v>
      </c>
      <c r="F40" s="32">
        <f>Wine!G9</f>
        <v>226.474469</v>
      </c>
      <c r="G40" s="32">
        <f>Wine!H9</f>
        <v>181.815811</v>
      </c>
      <c r="H40" s="23">
        <f t="shared" si="0"/>
        <v>-0.19719069525669142</v>
      </c>
      <c r="I40" s="36">
        <f t="shared" si="1"/>
        <v>226.42268819999998</v>
      </c>
      <c r="J40" s="23">
        <f t="shared" si="2"/>
        <v>-0.19700710010384903</v>
      </c>
      <c r="K40" s="8" t="str">
        <f>Wine!L9</f>
        <v>GTA (2023)</v>
      </c>
      <c r="L40" s="8" t="str">
        <f>Wine!M9</f>
        <v>IHS Global Trade Atlas (GTA) (2023). Unpublished trade data accessed via subscription service. Last Accessed October 2023.</v>
      </c>
    </row>
    <row r="41" spans="1:12" x14ac:dyDescent="0.25">
      <c r="A41" s="37" t="str">
        <f>Wine!B10</f>
        <v>United Kingdom</v>
      </c>
      <c r="B41" s="6" t="s">
        <v>45</v>
      </c>
      <c r="C41" s="32">
        <f>Wine!D10</f>
        <v>88.115504999999999</v>
      </c>
      <c r="D41" s="32">
        <f>Wine!E10</f>
        <v>94.467372999999995</v>
      </c>
      <c r="E41" s="32">
        <f>Wine!F10</f>
        <v>114.824506</v>
      </c>
      <c r="F41" s="32">
        <f>Wine!G10</f>
        <v>93.696257000000003</v>
      </c>
      <c r="G41" s="32">
        <f>Wine!H10</f>
        <v>94.209445000000002</v>
      </c>
      <c r="H41" s="23">
        <f t="shared" si="0"/>
        <v>5.4771451542616756E-3</v>
      </c>
      <c r="I41" s="36">
        <f t="shared" si="1"/>
        <v>97.062617200000005</v>
      </c>
      <c r="J41" s="23">
        <f t="shared" si="2"/>
        <v>-2.9395170687814498E-2</v>
      </c>
      <c r="K41" s="8" t="str">
        <f>Wine!L10</f>
        <v>GTA (2023)</v>
      </c>
      <c r="L41" s="8" t="str">
        <f>Wine!M10</f>
        <v>IHS Global Trade Atlas (GTA) (2023). Unpublished trade data accessed via subscription service. Last Accessed October 2023.</v>
      </c>
    </row>
    <row r="42" spans="1:12" x14ac:dyDescent="0.25">
      <c r="A42" s="37" t="str">
        <f>Wine!B11</f>
        <v>China</v>
      </c>
      <c r="B42" s="6" t="s">
        <v>45</v>
      </c>
      <c r="C42" s="32">
        <f>Wine!D11</f>
        <v>43.360847</v>
      </c>
      <c r="D42" s="32">
        <f>Wine!E11</f>
        <v>43.495663</v>
      </c>
      <c r="E42" s="32">
        <f>Wine!F11</f>
        <v>42.190545999999998</v>
      </c>
      <c r="F42" s="32">
        <f>Wine!G11</f>
        <v>33.926205000000003</v>
      </c>
      <c r="G42" s="32">
        <f>Wine!H11</f>
        <v>32.828811000000002</v>
      </c>
      <c r="H42" s="23">
        <f t="shared" si="0"/>
        <v>-3.2346500293799485E-2</v>
      </c>
      <c r="I42" s="36">
        <f t="shared" si="1"/>
        <v>39.160414400000001</v>
      </c>
      <c r="J42" s="23">
        <f t="shared" si="2"/>
        <v>-0.16168376910740756</v>
      </c>
      <c r="K42" s="8" t="str">
        <f>Wine!L11</f>
        <v>GTA (2023)</v>
      </c>
      <c r="L42" s="8" t="str">
        <f>Wine!M11</f>
        <v>IHS Global Trade Atlas (GTA) (2023). Unpublished trade data accessed via subscription service. Last Accessed October 2023.</v>
      </c>
    </row>
    <row r="43" spans="1:12" x14ac:dyDescent="0.25">
      <c r="A43" s="15" t="s">
        <v>38</v>
      </c>
      <c r="B43" s="9" t="s">
        <v>45</v>
      </c>
      <c r="C43" s="33">
        <f>SUM(C44,C48,C52,C56,C60,C64,C68,C72)</f>
        <v>3620.7829090000005</v>
      </c>
      <c r="D43" s="33">
        <f t="shared" ref="D43:G43" si="4">SUM(D44,D48,D52,D56,D60,D64,D68,D72)</f>
        <v>3799.9381400000002</v>
      </c>
      <c r="E43" s="33">
        <f t="shared" si="4"/>
        <v>3144.9834000000005</v>
      </c>
      <c r="F43" s="33">
        <f t="shared" si="4"/>
        <v>4045.8695700000003</v>
      </c>
      <c r="G43" s="33">
        <f t="shared" si="4"/>
        <v>4046.0160430000001</v>
      </c>
      <c r="H43" s="21">
        <f t="shared" si="0"/>
        <v>3.6203094901043897E-5</v>
      </c>
      <c r="I43" s="31">
        <f t="shared" si="1"/>
        <v>3731.5180124000008</v>
      </c>
      <c r="J43" s="21">
        <f t="shared" si="2"/>
        <v>8.4281525522564404E-2</v>
      </c>
      <c r="K43" s="25"/>
      <c r="L43" s="25"/>
    </row>
    <row r="44" spans="1:12" x14ac:dyDescent="0.25">
      <c r="A44" s="22" t="s">
        <v>39</v>
      </c>
      <c r="B44" s="6" t="s">
        <v>45</v>
      </c>
      <c r="C44" s="32">
        <f>Beef!D13</f>
        <v>1802.57511</v>
      </c>
      <c r="D44" s="32">
        <f>Beef!E13</f>
        <v>2103.456326</v>
      </c>
      <c r="E44" s="32">
        <f>Beef!F13</f>
        <v>1551.6980349999999</v>
      </c>
      <c r="F44" s="32">
        <f>Beef!G13</f>
        <v>1928.938463</v>
      </c>
      <c r="G44" s="32">
        <f>Beef!H13</f>
        <v>1890.788624</v>
      </c>
      <c r="H44" s="23">
        <f t="shared" si="0"/>
        <v>-1.9777634036425962E-2</v>
      </c>
      <c r="I44" s="36">
        <f t="shared" si="1"/>
        <v>1855.4913116000002</v>
      </c>
      <c r="J44" s="23">
        <f t="shared" si="2"/>
        <v>1.9023162317889142E-2</v>
      </c>
      <c r="K44" s="8" t="str">
        <f>Beef!L13</f>
        <v>GTA (2023)</v>
      </c>
      <c r="L44" s="8" t="str">
        <f>Beef!M13</f>
        <v>IHS Global Trade Atlas (GTA) (2023). Unpublished trade data accessed via subscription service. Last Accessed October 2023.</v>
      </c>
    </row>
    <row r="45" spans="1:12" x14ac:dyDescent="0.25">
      <c r="A45" s="37" t="str">
        <f>Beef!B14</f>
        <v>China</v>
      </c>
      <c r="B45" s="6" t="s">
        <v>45</v>
      </c>
      <c r="C45" s="32">
        <f>Beef!D14</f>
        <v>500.51808799999998</v>
      </c>
      <c r="D45" s="32">
        <f>Beef!E14</f>
        <v>747.03017199999999</v>
      </c>
      <c r="E45" s="32">
        <f>Beef!F14</f>
        <v>497.83591200000001</v>
      </c>
      <c r="F45" s="32">
        <f>Beef!G14</f>
        <v>788.11124400000006</v>
      </c>
      <c r="G45" s="32">
        <f>Beef!H14</f>
        <v>808.88858600000003</v>
      </c>
      <c r="H45" s="23">
        <f t="shared" si="0"/>
        <v>2.6363463480797655E-2</v>
      </c>
      <c r="I45" s="36">
        <f t="shared" si="1"/>
        <v>668.4768004</v>
      </c>
      <c r="J45" s="23">
        <f t="shared" si="2"/>
        <v>0.21004735768837612</v>
      </c>
      <c r="K45" s="8" t="str">
        <f>Beef!L14</f>
        <v>GTA (2023)</v>
      </c>
      <c r="L45" s="8" t="str">
        <f>Beef!M14</f>
        <v>IHS Global Trade Atlas (GTA) (2023). Unpublished trade data accessed via subscription service. Last Accessed October 2023.</v>
      </c>
    </row>
    <row r="46" spans="1:12" x14ac:dyDescent="0.25">
      <c r="A46" s="37" t="str">
        <f>Beef!B15</f>
        <v>Japan</v>
      </c>
      <c r="B46" s="6" t="s">
        <v>45</v>
      </c>
      <c r="C46" s="32">
        <f>Beef!D15</f>
        <v>401.82379700000001</v>
      </c>
      <c r="D46" s="32">
        <f>Beef!E15</f>
        <v>412.29277200000001</v>
      </c>
      <c r="E46" s="32">
        <f>Beef!F15</f>
        <v>334.40634699999998</v>
      </c>
      <c r="F46" s="32">
        <f>Beef!G15</f>
        <v>323.73936400000002</v>
      </c>
      <c r="G46" s="32">
        <f>Beef!H15</f>
        <v>258.19449800000001</v>
      </c>
      <c r="H46" s="23">
        <f t="shared" si="0"/>
        <v>-0.2024618359354039</v>
      </c>
      <c r="I46" s="36">
        <f t="shared" si="1"/>
        <v>346.09135559999999</v>
      </c>
      <c r="J46" s="23">
        <f t="shared" si="2"/>
        <v>-0.25397010407156206</v>
      </c>
      <c r="K46" s="8" t="str">
        <f>Beef!L15</f>
        <v>GTA (2023)</v>
      </c>
      <c r="L46" s="8" t="str">
        <f>Beef!M15</f>
        <v>IHS Global Trade Atlas (GTA) (2023). Unpublished trade data accessed via subscription service. Last Accessed October 2023.</v>
      </c>
    </row>
    <row r="47" spans="1:12" x14ac:dyDescent="0.25">
      <c r="A47" s="37" t="str">
        <f>Beef!B16</f>
        <v>United States</v>
      </c>
      <c r="B47" s="6" t="s">
        <v>45</v>
      </c>
      <c r="C47" s="32">
        <f>Beef!D16</f>
        <v>267.38518199999999</v>
      </c>
      <c r="D47" s="32">
        <f>Beef!E16</f>
        <v>328.57691699999998</v>
      </c>
      <c r="E47" s="32">
        <f>Beef!F16</f>
        <v>201.101641</v>
      </c>
      <c r="F47" s="32">
        <f>Beef!G16</f>
        <v>207.77028999999999</v>
      </c>
      <c r="G47" s="32">
        <f>Beef!H16</f>
        <v>220.40350100000001</v>
      </c>
      <c r="H47" s="23">
        <f t="shared" si="0"/>
        <v>6.0803741478148821E-2</v>
      </c>
      <c r="I47" s="36">
        <f t="shared" si="1"/>
        <v>245.04750619999999</v>
      </c>
      <c r="J47" s="23">
        <f t="shared" si="2"/>
        <v>-0.10056827585050521</v>
      </c>
      <c r="K47" s="8" t="str">
        <f>Beef!L16</f>
        <v>GTA (2023)</v>
      </c>
      <c r="L47" s="8" t="str">
        <f>Beef!M16</f>
        <v>IHS Global Trade Atlas (GTA) (2023). Unpublished trade data accessed via subscription service. Last Accessed October 2023.</v>
      </c>
    </row>
    <row r="48" spans="1:12" x14ac:dyDescent="0.25">
      <c r="A48" s="22" t="s">
        <v>40</v>
      </c>
      <c r="B48" s="6" t="s">
        <v>45</v>
      </c>
      <c r="C48" s="32">
        <f>'Sheep Meat'!D11</f>
        <v>927.05228799999998</v>
      </c>
      <c r="D48" s="32">
        <f>'Sheep Meat'!E11</f>
        <v>1097.935342</v>
      </c>
      <c r="E48" s="32">
        <f>'Sheep Meat'!F11</f>
        <v>1051.4326000000001</v>
      </c>
      <c r="F48" s="32">
        <f>'Sheep Meat'!G11</f>
        <v>1352.3337180000001</v>
      </c>
      <c r="G48" s="32">
        <f>'Sheep Meat'!H11</f>
        <v>1326.7030339999999</v>
      </c>
      <c r="H48" s="23">
        <f t="shared" si="0"/>
        <v>-1.8952928303751837E-2</v>
      </c>
      <c r="I48" s="36">
        <f t="shared" si="1"/>
        <v>1151.0913964000001</v>
      </c>
      <c r="J48" s="23">
        <f t="shared" si="2"/>
        <v>0.15256098529553719</v>
      </c>
      <c r="K48" s="8" t="str">
        <f>'Sheep Meat'!L11</f>
        <v>GTA (2023)</v>
      </c>
      <c r="L48" s="8" t="str">
        <f>'Sheep Meat'!M11</f>
        <v>IHS Global Trade Atlas (GTA) (2023). Unpublished trade data accessed via subscription service. Last Accessed October 2023.</v>
      </c>
    </row>
    <row r="49" spans="1:12" x14ac:dyDescent="0.25">
      <c r="A49" s="37" t="str">
        <f>'Sheep Meat'!B12</f>
        <v>China</v>
      </c>
      <c r="B49" s="6" t="s">
        <v>45</v>
      </c>
      <c r="C49" s="32">
        <f>'Sheep Meat'!D12</f>
        <v>350.99996499999997</v>
      </c>
      <c r="D49" s="32">
        <f>'Sheep Meat'!E12</f>
        <v>482.13167399999998</v>
      </c>
      <c r="E49" s="32">
        <f>'Sheep Meat'!F12</f>
        <v>454.601159</v>
      </c>
      <c r="F49" s="32">
        <f>'Sheep Meat'!G12</f>
        <v>514.72879</v>
      </c>
      <c r="G49" s="32">
        <f>'Sheep Meat'!H12</f>
        <v>581.67495699999995</v>
      </c>
      <c r="H49" s="23">
        <f t="shared" si="0"/>
        <v>0.13006105020859615</v>
      </c>
      <c r="I49" s="36">
        <f t="shared" si="1"/>
        <v>476.82730900000007</v>
      </c>
      <c r="J49" s="23">
        <f t="shared" si="2"/>
        <v>0.21988599650444907</v>
      </c>
      <c r="K49" s="8" t="str">
        <f>'Sheep Meat'!L12</f>
        <v>GTA (2023)</v>
      </c>
      <c r="L49" s="8" t="str">
        <f>'Sheep Meat'!M12</f>
        <v>IHS Global Trade Atlas (GTA) (2023). Unpublished trade data accessed via subscription service. Last Accessed October 2023.</v>
      </c>
    </row>
    <row r="50" spans="1:12" x14ac:dyDescent="0.25">
      <c r="A50" s="37" t="str">
        <f>'Sheep Meat'!B13</f>
        <v>United States</v>
      </c>
      <c r="B50" s="6" t="s">
        <v>45</v>
      </c>
      <c r="C50" s="32">
        <f>'Sheep Meat'!D13</f>
        <v>237.47554500000001</v>
      </c>
      <c r="D50" s="32">
        <f>'Sheep Meat'!E13</f>
        <v>264.10393299999998</v>
      </c>
      <c r="E50" s="32">
        <f>'Sheep Meat'!F13</f>
        <v>260.49198999999999</v>
      </c>
      <c r="F50" s="32">
        <f>'Sheep Meat'!G13</f>
        <v>348.40489500000001</v>
      </c>
      <c r="G50" s="32">
        <f>'Sheep Meat'!H13</f>
        <v>316.817634</v>
      </c>
      <c r="H50" s="23">
        <f t="shared" si="0"/>
        <v>-9.0662506334763249E-2</v>
      </c>
      <c r="I50" s="36">
        <f t="shared" si="1"/>
        <v>285.45879939999998</v>
      </c>
      <c r="J50" s="23">
        <f t="shared" si="2"/>
        <v>0.10985415291422962</v>
      </c>
      <c r="K50" s="8" t="str">
        <f>'Sheep Meat'!L13</f>
        <v>GTA (2023)</v>
      </c>
      <c r="L50" s="8" t="str">
        <f>'Sheep Meat'!M13</f>
        <v>IHS Global Trade Atlas (GTA) (2023). Unpublished trade data accessed via subscription service. Last Accessed October 2023.</v>
      </c>
    </row>
    <row r="51" spans="1:12" x14ac:dyDescent="0.25">
      <c r="A51" s="37" t="str">
        <f>'Sheep Meat'!B14</f>
        <v>Korea, South</v>
      </c>
      <c r="B51" s="6" t="s">
        <v>45</v>
      </c>
      <c r="C51" s="32">
        <f>'Sheep Meat'!D14</f>
        <v>41.321618000000001</v>
      </c>
      <c r="D51" s="32">
        <f>'Sheep Meat'!E14</f>
        <v>47.905771999999999</v>
      </c>
      <c r="E51" s="32">
        <f>'Sheep Meat'!F14</f>
        <v>71.502419000000003</v>
      </c>
      <c r="F51" s="32">
        <f>'Sheep Meat'!G14</f>
        <v>85.743803999999997</v>
      </c>
      <c r="G51" s="32">
        <f>'Sheep Meat'!H14</f>
        <v>113.656991</v>
      </c>
      <c r="H51" s="23">
        <f t="shared" si="0"/>
        <v>0.32554173826950827</v>
      </c>
      <c r="I51" s="36">
        <f t="shared" si="1"/>
        <v>72.026120800000001</v>
      </c>
      <c r="J51" s="23">
        <f t="shared" si="2"/>
        <v>0.57799683972429072</v>
      </c>
      <c r="K51" s="8" t="str">
        <f>'Sheep Meat'!L14</f>
        <v>GTA (2023)</v>
      </c>
      <c r="L51" s="8" t="str">
        <f>'Sheep Meat'!M14</f>
        <v>IHS Global Trade Atlas (GTA) (2023). Unpublished trade data accessed via subscription service. Last Accessed October 2023.</v>
      </c>
    </row>
    <row r="52" spans="1:12" x14ac:dyDescent="0.25">
      <c r="A52" s="22" t="s">
        <v>214</v>
      </c>
      <c r="B52" s="6" t="s">
        <v>45</v>
      </c>
      <c r="C52" s="32">
        <f>+'Goat Meat'!D6</f>
        <v>5.7913579999999998</v>
      </c>
      <c r="D52" s="32">
        <f>+'Goat Meat'!E6</f>
        <v>1.3317479999999999</v>
      </c>
      <c r="E52" s="32">
        <f>+'Goat Meat'!F6</f>
        <v>3.1523319999999999</v>
      </c>
      <c r="F52" s="32">
        <f>+'Goat Meat'!G6</f>
        <v>5.0812470000000003</v>
      </c>
      <c r="G52" s="32">
        <f>+'Goat Meat'!H6</f>
        <v>11.009693</v>
      </c>
      <c r="H52" s="23">
        <f t="shared" ref="H52:H53" si="5">IF(ISBLANK(G52),"N/A",IF(ISNA(G52/F52-1),"N/A",IF(ISERROR(G52/F52-1),"N/A",G52/F52-1)))</f>
        <v>1.1667305289429937</v>
      </c>
      <c r="I52" s="36">
        <f t="shared" ref="I52:I53" si="6">IF(ISBLANK(G52),"",IF(ISNA(AVERAGE(C52:G52)),"N/A",IF(ISERROR(AVERAGE(C52:G52)),"N/A",AVERAGE(C52:G52))))</f>
        <v>5.2732755999999998</v>
      </c>
      <c r="J52" s="23">
        <f t="shared" ref="J52:J53" si="7">IF(ISBLANK(G52),"",IF(ISNA(G52/AVERAGE(C52:G52)-1),"N/A",IF(ISERROR(G52/AVERAGE(C52:G52)-1),"N/A",G52/AVERAGE(C52:G52)-1)))</f>
        <v>1.0878281044138864</v>
      </c>
      <c r="K52" s="8" t="str">
        <f>+'Goat Meat'!L6</f>
        <v>GTA (2023)</v>
      </c>
      <c r="L52" s="8" t="str">
        <f>+'Goat Meat'!M6</f>
        <v>IHS Global Trade Atlas (GTA) (2023). Unpublished trade data accessed via subscription service. Last Accessed October 2023.</v>
      </c>
    </row>
    <row r="53" spans="1:12" x14ac:dyDescent="0.25">
      <c r="A53" s="39" t="str">
        <f>+'Goat Meat'!B7</f>
        <v>United States</v>
      </c>
      <c r="B53" s="6" t="s">
        <v>45</v>
      </c>
      <c r="C53" s="32">
        <f>+'Goat Meat'!D7</f>
        <v>0.12424499999999999</v>
      </c>
      <c r="D53" s="32">
        <f>+'Goat Meat'!E7</f>
        <v>0.63783999999999996</v>
      </c>
      <c r="E53" s="32">
        <f>+'Goat Meat'!F7</f>
        <v>1.340225</v>
      </c>
      <c r="F53" s="32">
        <f>+'Goat Meat'!G7</f>
        <v>3.5448569999999999</v>
      </c>
      <c r="G53" s="32">
        <f>+'Goat Meat'!H7</f>
        <v>3.6801499999999998</v>
      </c>
      <c r="H53" s="23">
        <f t="shared" si="5"/>
        <v>3.8165996540904246E-2</v>
      </c>
      <c r="I53" s="36">
        <f t="shared" si="6"/>
        <v>1.8654633999999999</v>
      </c>
      <c r="J53" s="23">
        <f t="shared" si="7"/>
        <v>0.97278059703556763</v>
      </c>
      <c r="K53" s="8" t="str">
        <f>+'Goat Meat'!L7</f>
        <v>GTA (2023)</v>
      </c>
      <c r="L53" s="8" t="str">
        <f>+'Goat Meat'!M7</f>
        <v>IHS Global Trade Atlas (GTA) (2023). Unpublished trade data accessed via subscription service. Last Accessed October 2023.</v>
      </c>
    </row>
    <row r="54" spans="1:12" x14ac:dyDescent="0.25">
      <c r="A54" s="39" t="str">
        <f>+'Goat Meat'!B8</f>
        <v>Korea, South</v>
      </c>
      <c r="B54" s="6" t="s">
        <v>45</v>
      </c>
      <c r="C54" s="32">
        <f>+'Goat Meat'!D8</f>
        <v>0</v>
      </c>
      <c r="D54" s="32">
        <f>+'Goat Meat'!E8</f>
        <v>0</v>
      </c>
      <c r="E54" s="32">
        <f>+'Goat Meat'!F8</f>
        <v>0.27759600000000001</v>
      </c>
      <c r="F54" s="32">
        <f>+'Goat Meat'!G8</f>
        <v>0.271063</v>
      </c>
      <c r="G54" s="32">
        <f>+'Goat Meat'!H8</f>
        <v>3.4305460000000001</v>
      </c>
      <c r="H54" s="23">
        <f t="shared" ref="H54" si="8">IF(ISBLANK(G54),"N/A",IF(ISNA(G54/F54-1),"N/A",IF(ISERROR(G54/F54-1),"N/A",G54/F54-1)))</f>
        <v>11.655899182108957</v>
      </c>
      <c r="I54" s="36">
        <f t="shared" ref="I54" si="9">IF(ISBLANK(G54),"",IF(ISNA(AVERAGE(C54:G54)),"N/A",IF(ISERROR(AVERAGE(C54:G54)),"N/A",AVERAGE(C54:G54))))</f>
        <v>0.79584100000000002</v>
      </c>
      <c r="J54" s="23">
        <f t="shared" ref="J54" si="10">IF(ISBLANK(G54),"",IF(ISNA(G54/AVERAGE(C54:G54)-1),"N/A",IF(ISERROR(G54/AVERAGE(C54:G54)-1),"N/A",G54/AVERAGE(C54:G54)-1)))</f>
        <v>3.310592191153761</v>
      </c>
      <c r="K54" s="8" t="str">
        <f>+'Goat Meat'!L8</f>
        <v>GTA (2023)</v>
      </c>
      <c r="L54" s="8" t="str">
        <f>+'Goat Meat'!M8</f>
        <v>IHS Global Trade Atlas (GTA) (2023). Unpublished trade data accessed via subscription service. Last Accessed October 2023.</v>
      </c>
    </row>
    <row r="55" spans="1:12" x14ac:dyDescent="0.25">
      <c r="A55" s="39" t="str">
        <f>+'Goat Meat'!B9</f>
        <v>Trinidad &amp; Tobago</v>
      </c>
      <c r="B55" s="6" t="s">
        <v>45</v>
      </c>
      <c r="C55" s="32">
        <f>+'Goat Meat'!D9</f>
        <v>3.5063279999999999</v>
      </c>
      <c r="D55" s="32">
        <f>+'Goat Meat'!E9</f>
        <v>0</v>
      </c>
      <c r="E55" s="32">
        <f>+'Goat Meat'!F9</f>
        <v>0</v>
      </c>
      <c r="F55" s="32">
        <f>+'Goat Meat'!G9</f>
        <v>0.34047500000000003</v>
      </c>
      <c r="G55" s="32">
        <f>+'Goat Meat'!H9</f>
        <v>1.854012</v>
      </c>
      <c r="H55" s="23">
        <f t="shared" ref="H55" si="11">IF(ISBLANK(G55),"N/A",IF(ISNA(G55/F55-1),"N/A",IF(ISERROR(G55/F55-1),"N/A",G55/F55-1)))</f>
        <v>4.4453689698215726</v>
      </c>
      <c r="I55" s="36">
        <f t="shared" ref="I55" si="12">IF(ISBLANK(G55),"",IF(ISNA(AVERAGE(C55:G55)),"N/A",IF(ISERROR(AVERAGE(C55:G55)),"N/A",AVERAGE(C55:G55))))</f>
        <v>1.140163</v>
      </c>
      <c r="J55" s="23">
        <f t="shared" ref="J55" si="13">IF(ISBLANK(G55),"",IF(ISNA(G55/AVERAGE(C55:G55)-1),"N/A",IF(ISERROR(G55/AVERAGE(C55:G55)-1),"N/A",G55/AVERAGE(C55:G55)-1)))</f>
        <v>0.62609381290219024</v>
      </c>
      <c r="K55" s="8" t="str">
        <f>+'Goat Meat'!L9</f>
        <v>GTA (2023)</v>
      </c>
      <c r="L55" s="8" t="str">
        <f>+'Goat Meat'!M9</f>
        <v>IHS Global Trade Atlas (GTA) (2023). Unpublished trade data accessed via subscription service. Last Accessed October 2023.</v>
      </c>
    </row>
    <row r="56" spans="1:12" x14ac:dyDescent="0.25">
      <c r="A56" s="22" t="s">
        <v>17</v>
      </c>
      <c r="B56" s="6" t="s">
        <v>45</v>
      </c>
      <c r="C56" s="32">
        <f>Pork!D7</f>
        <v>30.080116</v>
      </c>
      <c r="D56" s="32">
        <f>Pork!E7</f>
        <v>23.306242999999998</v>
      </c>
      <c r="E56" s="32">
        <f>Pork!F7</f>
        <v>21.528462000000001</v>
      </c>
      <c r="F56" s="32">
        <f>Pork!G7</f>
        <v>20.642503999999999</v>
      </c>
      <c r="G56" s="32">
        <f>Pork!H7</f>
        <v>19.870729999999998</v>
      </c>
      <c r="H56" s="23">
        <f t="shared" ref="H56" si="14">IF(ISBLANK(G56),"N/A",IF(ISNA(G56/F56-1),"N/A",IF(ISERROR(G56/F56-1),"N/A",G56/F56-1)))</f>
        <v>-3.7387615378444483E-2</v>
      </c>
      <c r="I56" s="36">
        <f t="shared" ref="I56" si="15">IF(ISBLANK(G56),"",IF(ISNA(AVERAGE(C56:G56)),"N/A",IF(ISERROR(AVERAGE(C56:G56)),"N/A",AVERAGE(C56:G56))))</f>
        <v>23.085611</v>
      </c>
      <c r="J56" s="23">
        <f t="shared" ref="J56" si="16">IF(ISBLANK(G56),"",IF(ISNA(G56/AVERAGE(C56:G56)-1),"N/A",IF(ISERROR(G56/AVERAGE(C56:G56)-1),"N/A",G56/AVERAGE(C56:G56)-1)))</f>
        <v>-0.13925908220492855</v>
      </c>
      <c r="K56" s="8" t="str">
        <f>Pork!L7</f>
        <v>GTA (2023)</v>
      </c>
      <c r="L56" s="8" t="str">
        <f>Pork!M7</f>
        <v>IHS Global Trade Atlas (GTA) (2023). Unpublished trade data accessed via subscription service. Last Accessed October 2023.</v>
      </c>
    </row>
    <row r="57" spans="1:12" x14ac:dyDescent="0.25">
      <c r="A57" s="37" t="str">
        <f>Pork!B8</f>
        <v>Singapore</v>
      </c>
      <c r="B57" s="6" t="s">
        <v>45</v>
      </c>
      <c r="C57" s="32">
        <f>Pork!D8</f>
        <v>9.4225779999999997</v>
      </c>
      <c r="D57" s="32">
        <f>Pork!E8</f>
        <v>7.3615170000000001</v>
      </c>
      <c r="E57" s="32">
        <f>Pork!F8</f>
        <v>8.8282710000000009</v>
      </c>
      <c r="F57" s="32">
        <f>Pork!G8</f>
        <v>6.5103749999999998</v>
      </c>
      <c r="G57" s="32">
        <f>Pork!H8</f>
        <v>4.9084099999999999</v>
      </c>
      <c r="H57" s="23">
        <f t="shared" si="0"/>
        <v>-0.24606339880575234</v>
      </c>
      <c r="I57" s="36">
        <f t="shared" si="1"/>
        <v>7.4062302000000013</v>
      </c>
      <c r="J57" s="23">
        <f t="shared" si="2"/>
        <v>-0.33725932526374902</v>
      </c>
      <c r="K57" s="8" t="str">
        <f>Pork!L8</f>
        <v>GTA (2023)</v>
      </c>
      <c r="L57" s="8" t="str">
        <f>Pork!M8</f>
        <v>IHS Global Trade Atlas (GTA) (2023). Unpublished trade data accessed via subscription service. Last Accessed October 2023.</v>
      </c>
    </row>
    <row r="58" spans="1:12" x14ac:dyDescent="0.25">
      <c r="A58" s="37" t="str">
        <f>Pork!B9</f>
        <v>New Zealand</v>
      </c>
      <c r="B58" s="6" t="s">
        <v>45</v>
      </c>
      <c r="C58" s="32">
        <f>Pork!D9</f>
        <v>4.8186689999999999</v>
      </c>
      <c r="D58" s="32">
        <f>Pork!E9</f>
        <v>3.3838200000000001</v>
      </c>
      <c r="E58" s="32">
        <f>Pork!F9</f>
        <v>2.9607510000000001</v>
      </c>
      <c r="F58" s="32">
        <f>Pork!G9</f>
        <v>3.7111499999999999</v>
      </c>
      <c r="G58" s="32">
        <f>Pork!H9</f>
        <v>3.8666909999999999</v>
      </c>
      <c r="H58" s="23">
        <f t="shared" si="0"/>
        <v>4.1911806313406963E-2</v>
      </c>
      <c r="I58" s="36">
        <f t="shared" si="1"/>
        <v>3.7482162000000003</v>
      </c>
      <c r="J58" s="23">
        <f t="shared" si="2"/>
        <v>3.1608315443490076E-2</v>
      </c>
      <c r="K58" s="8" t="str">
        <f>Pork!L9</f>
        <v>GTA (2023)</v>
      </c>
      <c r="L58" s="8" t="str">
        <f>Pork!M9</f>
        <v>IHS Global Trade Atlas (GTA) (2023). Unpublished trade data accessed via subscription service. Last Accessed October 2023.</v>
      </c>
    </row>
    <row r="59" spans="1:12" x14ac:dyDescent="0.25">
      <c r="A59" s="37" t="str">
        <f>Pork!B10</f>
        <v>Philippines</v>
      </c>
      <c r="B59" s="6" t="s">
        <v>45</v>
      </c>
      <c r="C59" s="32">
        <f>Pork!D10</f>
        <v>3.9162129999999999</v>
      </c>
      <c r="D59" s="32">
        <f>Pork!E10</f>
        <v>1.777298</v>
      </c>
      <c r="E59" s="32">
        <f>Pork!F10</f>
        <v>2.1187659999999999</v>
      </c>
      <c r="F59" s="32">
        <f>Pork!G10</f>
        <v>3.086643</v>
      </c>
      <c r="G59" s="32">
        <f>Pork!H10</f>
        <v>2.6752989999999999</v>
      </c>
      <c r="H59" s="23">
        <f t="shared" si="0"/>
        <v>-0.13326581661695247</v>
      </c>
      <c r="I59" s="36">
        <f t="shared" si="1"/>
        <v>2.7148437999999997</v>
      </c>
      <c r="J59" s="23">
        <f t="shared" si="2"/>
        <v>-1.4566141890004825E-2</v>
      </c>
      <c r="K59" s="8" t="str">
        <f>Pork!L10</f>
        <v>GTA (2023)</v>
      </c>
      <c r="L59" s="8" t="str">
        <f>Pork!M10</f>
        <v>IHS Global Trade Atlas (GTA) (2023). Unpublished trade data accessed via subscription service. Last Accessed October 2023.</v>
      </c>
    </row>
    <row r="60" spans="1:12" x14ac:dyDescent="0.25">
      <c r="A60" s="22" t="s">
        <v>18</v>
      </c>
      <c r="B60" s="6" t="s">
        <v>45</v>
      </c>
      <c r="C60" s="32">
        <f>Poultry!D7</f>
        <v>22.124732000000002</v>
      </c>
      <c r="D60" s="32">
        <f>Poultry!E7</f>
        <v>24.215153999999998</v>
      </c>
      <c r="E60" s="32">
        <f>Poultry!F7</f>
        <v>12.266144000000001</v>
      </c>
      <c r="F60" s="32">
        <f>Poultry!G7</f>
        <v>19.418253</v>
      </c>
      <c r="G60" s="32">
        <f>Poultry!H7</f>
        <v>24.966093000000001</v>
      </c>
      <c r="H60" s="23">
        <f t="shared" si="0"/>
        <v>0.28570232347884228</v>
      </c>
      <c r="I60" s="36">
        <f t="shared" si="1"/>
        <v>20.5980752</v>
      </c>
      <c r="J60" s="23">
        <f t="shared" si="2"/>
        <v>0.21205951321121508</v>
      </c>
      <c r="K60" s="8" t="str">
        <f>Poultry!L7</f>
        <v>GTA (2023)</v>
      </c>
      <c r="L60" s="8" t="str">
        <f>Poultry!M7</f>
        <v>IHS Global Trade Atlas (GTA) (2023). Unpublished trade data accessed via subscription service. Last Accessed October 2023.</v>
      </c>
    </row>
    <row r="61" spans="1:12" x14ac:dyDescent="0.25">
      <c r="A61" s="37" t="str">
        <f>Poultry!B8</f>
        <v>Vanuatu</v>
      </c>
      <c r="B61" s="6" t="s">
        <v>45</v>
      </c>
      <c r="C61" s="32">
        <f>Poultry!D8</f>
        <v>2.545912</v>
      </c>
      <c r="D61" s="32">
        <f>Poultry!E8</f>
        <v>1.5064200000000001</v>
      </c>
      <c r="E61" s="32">
        <f>Poultry!F8</f>
        <v>2.0642670000000001</v>
      </c>
      <c r="F61" s="32">
        <f>Poultry!G8</f>
        <v>1.713962</v>
      </c>
      <c r="G61" s="32">
        <f>Poultry!H8</f>
        <v>4.5512569999999997</v>
      </c>
      <c r="H61" s="23">
        <f t="shared" si="0"/>
        <v>1.655401344953972</v>
      </c>
      <c r="I61" s="36">
        <f t="shared" si="1"/>
        <v>2.4763636</v>
      </c>
      <c r="J61" s="23">
        <f t="shared" si="2"/>
        <v>0.83787913858853358</v>
      </c>
      <c r="K61" s="8" t="str">
        <f>Poultry!L8</f>
        <v>GTA (2023)</v>
      </c>
      <c r="L61" s="8" t="str">
        <f>Poultry!M8</f>
        <v>IHS Global Trade Atlas (GTA) (2023). Unpublished trade data accessed via subscription service. Last Accessed October 2023.</v>
      </c>
    </row>
    <row r="62" spans="1:12" x14ac:dyDescent="0.25">
      <c r="A62" s="37" t="str">
        <f>Poultry!B9</f>
        <v>Philippines</v>
      </c>
      <c r="B62" s="6" t="s">
        <v>45</v>
      </c>
      <c r="C62" s="32">
        <f>Poultry!D9</f>
        <v>3.2997010000000002</v>
      </c>
      <c r="D62" s="32">
        <f>Poultry!E9</f>
        <v>3.084015</v>
      </c>
      <c r="E62" s="32">
        <f>Poultry!F9</f>
        <v>1.6473180000000001</v>
      </c>
      <c r="F62" s="32">
        <f>Poultry!G9</f>
        <v>5.5559079999999996</v>
      </c>
      <c r="G62" s="32">
        <f>Poultry!H9</f>
        <v>3.9886140000000001</v>
      </c>
      <c r="H62" s="23">
        <f t="shared" si="0"/>
        <v>-0.28209502389168428</v>
      </c>
      <c r="I62" s="36">
        <f t="shared" si="1"/>
        <v>3.5151111999999998</v>
      </c>
      <c r="J62" s="23">
        <f t="shared" si="2"/>
        <v>0.13470492768479136</v>
      </c>
      <c r="K62" s="8" t="str">
        <f>Poultry!L9</f>
        <v>GTA (2023)</v>
      </c>
      <c r="L62" s="8" t="str">
        <f>Poultry!M9</f>
        <v>IHS Global Trade Atlas (GTA) (2023). Unpublished trade data accessed via subscription service. Last Accessed October 2023.</v>
      </c>
    </row>
    <row r="63" spans="1:12" x14ac:dyDescent="0.25">
      <c r="A63" s="37" t="str">
        <f>Poultry!B10</f>
        <v>Singapore</v>
      </c>
      <c r="B63" s="6" t="s">
        <v>45</v>
      </c>
      <c r="C63" s="32">
        <f>Poultry!D10</f>
        <v>0.28379799999999999</v>
      </c>
      <c r="D63" s="32">
        <f>Poultry!E10</f>
        <v>7.7887370000000002</v>
      </c>
      <c r="E63" s="32">
        <f>Poultry!F10</f>
        <v>2.0815540000000001</v>
      </c>
      <c r="F63" s="32">
        <f>Poultry!G10</f>
        <v>0.46285399999999999</v>
      </c>
      <c r="G63" s="32">
        <f>Poultry!H10</f>
        <v>1.444315</v>
      </c>
      <c r="H63" s="23">
        <f t="shared" si="0"/>
        <v>2.1204548302488475</v>
      </c>
      <c r="I63" s="36">
        <f t="shared" si="1"/>
        <v>2.4122516000000003</v>
      </c>
      <c r="J63" s="23">
        <f t="shared" si="2"/>
        <v>-0.40125855860143289</v>
      </c>
      <c r="K63" s="8" t="str">
        <f>Poultry!L10</f>
        <v>GTA (2023)</v>
      </c>
      <c r="L63" s="8" t="str">
        <f>Poultry!M10</f>
        <v>IHS Global Trade Atlas (GTA) (2023). Unpublished trade data accessed via subscription service. Last Accessed October 2023.</v>
      </c>
    </row>
    <row r="64" spans="1:12" x14ac:dyDescent="0.25">
      <c r="A64" s="22" t="s">
        <v>19</v>
      </c>
      <c r="B64" s="6" t="s">
        <v>45</v>
      </c>
      <c r="C64" s="32">
        <f>Wool!D10</f>
        <v>807.47414600000002</v>
      </c>
      <c r="D64" s="32">
        <f>Wool!E10</f>
        <v>527.49161400000003</v>
      </c>
      <c r="E64" s="32">
        <f>Wool!F10</f>
        <v>466.003916</v>
      </c>
      <c r="F64" s="32">
        <f>Wool!G10</f>
        <v>706.07081700000003</v>
      </c>
      <c r="G64" s="32">
        <f>Wool!H10</f>
        <v>755.25449400000002</v>
      </c>
      <c r="H64" s="23">
        <f t="shared" si="0"/>
        <v>6.965827763421073E-2</v>
      </c>
      <c r="I64" s="36">
        <f t="shared" si="1"/>
        <v>652.45899740000004</v>
      </c>
      <c r="J64" s="23">
        <f t="shared" si="2"/>
        <v>0.15755089133513711</v>
      </c>
      <c r="K64" s="8" t="str">
        <f>Wool!L10</f>
        <v>GTA (2023)</v>
      </c>
      <c r="L64" s="8" t="str">
        <f>Wool!M10</f>
        <v>IHS Global Trade Atlas (GTA) (2023). Unpublished trade data accessed via subscription service. Last Accessed October 2023.</v>
      </c>
    </row>
    <row r="65" spans="1:12" x14ac:dyDescent="0.25">
      <c r="A65" s="37" t="str">
        <f>Wool!B11</f>
        <v>China</v>
      </c>
      <c r="B65" s="6" t="s">
        <v>45</v>
      </c>
      <c r="C65" s="32">
        <f>Wool!D11</f>
        <v>684.67072399999995</v>
      </c>
      <c r="D65" s="32">
        <f>Wool!E11</f>
        <v>435.440831</v>
      </c>
      <c r="E65" s="32">
        <f>Wool!F11</f>
        <v>421.05429800000002</v>
      </c>
      <c r="F65" s="32">
        <f>Wool!G11</f>
        <v>587.95016299999997</v>
      </c>
      <c r="G65" s="32">
        <f>Wool!H11</f>
        <v>594.57458699999995</v>
      </c>
      <c r="H65" s="23">
        <f t="shared" si="0"/>
        <v>1.1266982164268802E-2</v>
      </c>
      <c r="I65" s="36">
        <f t="shared" si="1"/>
        <v>544.7381206</v>
      </c>
      <c r="J65" s="23">
        <f t="shared" si="2"/>
        <v>9.1487018285240973E-2</v>
      </c>
      <c r="K65" s="8" t="str">
        <f>Wool!L11</f>
        <v>GTA (2023)</v>
      </c>
      <c r="L65" s="8" t="str">
        <f>Wool!M11</f>
        <v>IHS Global Trade Atlas (GTA) (2023). Unpublished trade data accessed via subscription service. Last Accessed October 2023.</v>
      </c>
    </row>
    <row r="66" spans="1:12" x14ac:dyDescent="0.25">
      <c r="A66" s="37" t="str">
        <f>Wool!B12</f>
        <v>Italy</v>
      </c>
      <c r="B66" s="6" t="s">
        <v>45</v>
      </c>
      <c r="C66" s="32">
        <f>Wool!D12</f>
        <v>45.271394999999998</v>
      </c>
      <c r="D66" s="32">
        <f>Wool!E12</f>
        <v>43.664095000000003</v>
      </c>
      <c r="E66" s="32">
        <f>Wool!F12</f>
        <v>11.937002</v>
      </c>
      <c r="F66" s="32">
        <f>Wool!G12</f>
        <v>50.216537000000002</v>
      </c>
      <c r="G66" s="32">
        <f>Wool!H12</f>
        <v>78.842713000000003</v>
      </c>
      <c r="H66" s="23">
        <f t="shared" si="0"/>
        <v>0.57005476104415553</v>
      </c>
      <c r="I66" s="36">
        <f t="shared" si="1"/>
        <v>45.986348399999997</v>
      </c>
      <c r="J66" s="23">
        <f t="shared" si="2"/>
        <v>0.71448083492534953</v>
      </c>
      <c r="K66" s="8" t="str">
        <f>Wool!L12</f>
        <v>GTA (2023)</v>
      </c>
      <c r="L66" s="8" t="str">
        <f>Wool!M12</f>
        <v>IHS Global Trade Atlas (GTA) (2023). Unpublished trade data accessed via subscription service. Last Accessed October 2023.</v>
      </c>
    </row>
    <row r="67" spans="1:12" x14ac:dyDescent="0.25">
      <c r="A67" s="37" t="str">
        <f>Wool!B13</f>
        <v>India</v>
      </c>
      <c r="B67" s="6" t="s">
        <v>45</v>
      </c>
      <c r="C67" s="32">
        <f>Wool!D13</f>
        <v>27.758002999999999</v>
      </c>
      <c r="D67" s="32">
        <f>Wool!E13</f>
        <v>11.814821999999999</v>
      </c>
      <c r="E67" s="32">
        <f>Wool!F13</f>
        <v>9.4971029999999992</v>
      </c>
      <c r="F67" s="32">
        <f>Wool!G13</f>
        <v>26.5122</v>
      </c>
      <c r="G67" s="32">
        <f>Wool!H13</f>
        <v>40.815897999999997</v>
      </c>
      <c r="H67" s="23">
        <f t="shared" si="0"/>
        <v>0.53951380873710963</v>
      </c>
      <c r="I67" s="36">
        <f t="shared" si="1"/>
        <v>23.279605199999999</v>
      </c>
      <c r="J67" s="23">
        <f t="shared" si="2"/>
        <v>0.75328995699634982</v>
      </c>
      <c r="K67" s="8" t="str">
        <f>Wool!L13</f>
        <v>GTA (2023)</v>
      </c>
      <c r="L67" s="8" t="str">
        <f>Wool!M13</f>
        <v>IHS Global Trade Atlas (GTA) (2023). Unpublished trade data accessed via subscription service. Last Accessed October 2023.</v>
      </c>
    </row>
    <row r="68" spans="1:12" x14ac:dyDescent="0.25">
      <c r="A68" s="22" t="s">
        <v>20</v>
      </c>
      <c r="B68" s="6" t="s">
        <v>45</v>
      </c>
      <c r="C68" s="32">
        <f>Eggs!D9</f>
        <v>7.8934610000000003</v>
      </c>
      <c r="D68" s="32">
        <f>Eggs!E9</f>
        <v>1.473776</v>
      </c>
      <c r="E68" s="32">
        <f>Eggs!F9</f>
        <v>0.89936799999999995</v>
      </c>
      <c r="F68" s="32">
        <f>Eggs!G9</f>
        <v>1.101235</v>
      </c>
      <c r="G68" s="32">
        <f>Eggs!H9</f>
        <v>2.0233300000000001</v>
      </c>
      <c r="H68" s="23">
        <f t="shared" si="0"/>
        <v>0.83732809073449377</v>
      </c>
      <c r="I68" s="36">
        <f t="shared" si="1"/>
        <v>2.6782339999999993</v>
      </c>
      <c r="J68" s="23">
        <f t="shared" si="2"/>
        <v>-0.24452829737804815</v>
      </c>
      <c r="K68" s="8" t="str">
        <f>Eggs!L9</f>
        <v>GTA (2023)</v>
      </c>
      <c r="L68" s="8" t="str">
        <f>Eggs!M9</f>
        <v>IHS Global Trade Atlas (GTA) (2023). Unpublished trade data accessed via subscription service. Last Accessed October 2023.</v>
      </c>
    </row>
    <row r="69" spans="1:12" x14ac:dyDescent="0.25">
      <c r="A69" s="37" t="str">
        <f>Eggs!B10</f>
        <v>Philippines</v>
      </c>
      <c r="B69" s="6" t="s">
        <v>45</v>
      </c>
      <c r="C69" s="32">
        <f>Eggs!D10</f>
        <v>5.8645069999999997</v>
      </c>
      <c r="D69" s="32">
        <f>Eggs!E10</f>
        <v>0.50830399999999998</v>
      </c>
      <c r="E69" s="32">
        <f>Eggs!F10</f>
        <v>0</v>
      </c>
      <c r="F69" s="32">
        <f>Eggs!G10</f>
        <v>0.35416900000000001</v>
      </c>
      <c r="G69" s="32">
        <f>Eggs!H10</f>
        <v>0.76368400000000003</v>
      </c>
      <c r="H69" s="23">
        <f t="shared" si="0"/>
        <v>1.1562700292798072</v>
      </c>
      <c r="I69" s="36">
        <f t="shared" si="1"/>
        <v>1.4981327999999998</v>
      </c>
      <c r="J69" s="23">
        <f t="shared" si="2"/>
        <v>-0.49024278755528206</v>
      </c>
      <c r="K69" s="8" t="str">
        <f>Eggs!L10</f>
        <v>GTA (2023)</v>
      </c>
      <c r="L69" s="8" t="str">
        <f>Eggs!M10</f>
        <v>IHS Global Trade Atlas (GTA) (2023). Unpublished trade data accessed via subscription service. Last Accessed October 2023.</v>
      </c>
    </row>
    <row r="70" spans="1:12" x14ac:dyDescent="0.25">
      <c r="A70" s="37" t="str">
        <f>Eggs!B11</f>
        <v>New Caledonia</v>
      </c>
      <c r="B70" s="6" t="s">
        <v>45</v>
      </c>
      <c r="C70" s="32">
        <f>Eggs!D11</f>
        <v>0.49903700000000001</v>
      </c>
      <c r="D70" s="32">
        <f>Eggs!E11</f>
        <v>0.13275500000000001</v>
      </c>
      <c r="E70" s="32">
        <f>Eggs!F11</f>
        <v>4.9283E-2</v>
      </c>
      <c r="F70" s="32">
        <f>Eggs!G11</f>
        <v>0.14870900000000001</v>
      </c>
      <c r="G70" s="32">
        <f>Eggs!H11</f>
        <v>0</v>
      </c>
      <c r="H70" s="23">
        <f t="shared" ref="H70:H86" si="17">IF(ISBLANK(G70),"N/A",IF(ISNA(G70/F70-1),"N/A",IF(ISERROR(G70/F70-1),"N/A",G70/F70-1)))</f>
        <v>-1</v>
      </c>
      <c r="I70" s="36">
        <f t="shared" ref="I70:I86" si="18">IF(ISBLANK(G70),"",IF(ISNA(AVERAGE(C70:G70)),"N/A",IF(ISERROR(AVERAGE(C70:G70)),"N/A",AVERAGE(C70:G70))))</f>
        <v>0.16595679999999999</v>
      </c>
      <c r="J70" s="23">
        <f t="shared" si="2"/>
        <v>-1</v>
      </c>
      <c r="K70" s="8" t="str">
        <f>Eggs!L11</f>
        <v>GTA (2023)</v>
      </c>
      <c r="L70" s="8" t="str">
        <f>Eggs!M11</f>
        <v>IHS Global Trade Atlas (GTA) (2023). Unpublished trade data accessed via subscription service. Last Accessed October 2023.</v>
      </c>
    </row>
    <row r="71" spans="1:12" x14ac:dyDescent="0.25">
      <c r="A71" s="37" t="str">
        <f>Eggs!B12</f>
        <v>Singapore</v>
      </c>
      <c r="B71" s="6" t="s">
        <v>45</v>
      </c>
      <c r="C71" s="32">
        <f>Eggs!D12</f>
        <v>0.56649300000000002</v>
      </c>
      <c r="D71" s="32">
        <f>Eggs!E12</f>
        <v>0.64385899999999996</v>
      </c>
      <c r="E71" s="32">
        <f>Eggs!F12</f>
        <v>0.45018399999999997</v>
      </c>
      <c r="F71" s="32">
        <f>Eggs!G12</f>
        <v>0.35331699999999999</v>
      </c>
      <c r="G71" s="32">
        <f>Eggs!H12</f>
        <v>0</v>
      </c>
      <c r="H71" s="23">
        <f t="shared" si="17"/>
        <v>-1</v>
      </c>
      <c r="I71" s="36">
        <f t="shared" si="18"/>
        <v>0.40277059999999992</v>
      </c>
      <c r="J71" s="23">
        <f t="shared" si="2"/>
        <v>-1</v>
      </c>
      <c r="K71" s="8" t="str">
        <f>Eggs!L12</f>
        <v>GTA (2023)</v>
      </c>
      <c r="L71" s="8" t="str">
        <f>Eggs!M12</f>
        <v>IHS Global Trade Atlas (GTA) (2023). Unpublished trade data accessed via subscription service. Last Accessed October 2023.</v>
      </c>
    </row>
    <row r="72" spans="1:12" x14ac:dyDescent="0.25">
      <c r="A72" s="22" t="s">
        <v>21</v>
      </c>
      <c r="B72" s="6" t="s">
        <v>45</v>
      </c>
      <c r="C72" s="32">
        <f>Milk!D10</f>
        <v>17.791698</v>
      </c>
      <c r="D72" s="32">
        <f>Milk!E10</f>
        <v>20.727937000000001</v>
      </c>
      <c r="E72" s="32">
        <f>Milk!F10</f>
        <v>38.002543000000003</v>
      </c>
      <c r="F72" s="32">
        <f>Milk!G10</f>
        <v>12.283333000000001</v>
      </c>
      <c r="G72" s="32">
        <f>Milk!H10</f>
        <v>15.400045</v>
      </c>
      <c r="H72" s="23">
        <f t="shared" si="17"/>
        <v>0.253735040806921</v>
      </c>
      <c r="I72" s="36">
        <f t="shared" si="18"/>
        <v>20.8411112</v>
      </c>
      <c r="J72" s="23">
        <f t="shared" ref="J72:J86" si="19">IF(ISBLANK(G72),"",IF(ISNA(G72/AVERAGE(C72:G72)-1),"N/A",IF(ISERROR(G72/AVERAGE(C72:G72)-1),"N/A",G72/AVERAGE(C72:G72)-1)))</f>
        <v>-0.26107370896807081</v>
      </c>
      <c r="K72" s="8" t="str">
        <f>Milk!L10</f>
        <v>GTA (2023)</v>
      </c>
      <c r="L72" s="8" t="str">
        <f>Milk!M10</f>
        <v>IHS Global Trade Atlas (GTA) (2023). Unpublished trade data accessed via subscription service. Last Accessed October 2023.</v>
      </c>
    </row>
    <row r="73" spans="1:12" x14ac:dyDescent="0.25">
      <c r="A73" s="37" t="str">
        <f>Milk!B11</f>
        <v>China</v>
      </c>
      <c r="B73" s="6" t="s">
        <v>45</v>
      </c>
      <c r="C73" s="32">
        <f>Milk!D11</f>
        <v>11.632845</v>
      </c>
      <c r="D73" s="32">
        <f>Milk!E11</f>
        <v>11.938378</v>
      </c>
      <c r="E73" s="32">
        <f>Milk!F11</f>
        <v>32.013775000000003</v>
      </c>
      <c r="F73" s="32">
        <f>Milk!G11</f>
        <v>7.8199149999999999</v>
      </c>
      <c r="G73" s="32">
        <f>Milk!H11</f>
        <v>6.9536480000000003</v>
      </c>
      <c r="H73" s="23">
        <f t="shared" si="17"/>
        <v>-0.11077703530025573</v>
      </c>
      <c r="I73" s="36">
        <f t="shared" si="18"/>
        <v>14.071712199999999</v>
      </c>
      <c r="J73" s="23">
        <f t="shared" si="19"/>
        <v>-0.50584208224497362</v>
      </c>
      <c r="K73" s="8" t="str">
        <f>Milk!L11</f>
        <v>GTA (2023)</v>
      </c>
      <c r="L73" s="8" t="str">
        <f>Milk!M11</f>
        <v>IHS Global Trade Atlas (GTA) (2023). Unpublished trade data accessed via subscription service. Last Accessed October 2023.</v>
      </c>
    </row>
    <row r="74" spans="1:12" x14ac:dyDescent="0.25">
      <c r="A74" s="37" t="str">
        <f>Milk!B12</f>
        <v>Hong Kong</v>
      </c>
      <c r="B74" s="6" t="s">
        <v>45</v>
      </c>
      <c r="C74" s="32">
        <f>Milk!D12</f>
        <v>1.7445029999999999</v>
      </c>
      <c r="D74" s="32">
        <f>Milk!E12</f>
        <v>3.6486930000000002</v>
      </c>
      <c r="E74" s="32">
        <f>Milk!F12</f>
        <v>2.9146969999999999</v>
      </c>
      <c r="F74" s="32">
        <f>Milk!G12</f>
        <v>2.2506940000000002</v>
      </c>
      <c r="G74" s="32">
        <f>Milk!H12</f>
        <v>2.416366</v>
      </c>
      <c r="H74" s="23">
        <f t="shared" si="17"/>
        <v>7.3609295621706039E-2</v>
      </c>
      <c r="I74" s="36">
        <f t="shared" si="18"/>
        <v>2.5949906</v>
      </c>
      <c r="J74" s="23">
        <f t="shared" si="19"/>
        <v>-6.8834391924194271E-2</v>
      </c>
      <c r="K74" s="8" t="str">
        <f>Milk!L12</f>
        <v>GTA (2023)</v>
      </c>
      <c r="L74" s="8" t="str">
        <f>Milk!M12</f>
        <v>IHS Global Trade Atlas (GTA) (2023). Unpublished trade data accessed via subscription service. Last Accessed October 2023.</v>
      </c>
    </row>
    <row r="75" spans="1:12" x14ac:dyDescent="0.25">
      <c r="A75" s="37" t="str">
        <f>Milk!B13</f>
        <v>Singapore</v>
      </c>
      <c r="B75" s="6" t="s">
        <v>45</v>
      </c>
      <c r="C75" s="32">
        <f>Milk!D13</f>
        <v>2.7993000000000001</v>
      </c>
      <c r="D75" s="32">
        <f>Milk!E13</f>
        <v>2.569426</v>
      </c>
      <c r="E75" s="32">
        <f>Milk!F13</f>
        <v>1.5370470000000001</v>
      </c>
      <c r="F75" s="32">
        <f>Milk!G13</f>
        <v>0.83058699999999996</v>
      </c>
      <c r="G75" s="32">
        <f>Milk!H13</f>
        <v>5.9551E-2</v>
      </c>
      <c r="H75" s="23">
        <f t="shared" si="17"/>
        <v>-0.92830251376436179</v>
      </c>
      <c r="I75" s="36">
        <f t="shared" si="18"/>
        <v>1.5591822000000002</v>
      </c>
      <c r="J75" s="23">
        <f t="shared" si="19"/>
        <v>-0.96180625971743394</v>
      </c>
      <c r="K75" s="8" t="str">
        <f>Milk!L13</f>
        <v>GTA (2023)</v>
      </c>
      <c r="L75" s="8" t="str">
        <f>Milk!M13</f>
        <v>IHS Global Trade Atlas (GTA) (2023). Unpublished trade data accessed via subscription service. Last Accessed October 2023.</v>
      </c>
    </row>
    <row r="76" spans="1:12" x14ac:dyDescent="0.25">
      <c r="A76" s="9" t="s">
        <v>200</v>
      </c>
      <c r="B76" s="9" t="s">
        <v>45</v>
      </c>
      <c r="C76" s="33">
        <f>SUM(C77,C81)</f>
        <v>190.16223400000001</v>
      </c>
      <c r="D76" s="33">
        <f t="shared" ref="D76:G76" si="20">SUM(D77,D81)</f>
        <v>203.18604300000001</v>
      </c>
      <c r="E76" s="33">
        <f t="shared" si="20"/>
        <v>143.62210999999999</v>
      </c>
      <c r="F76" s="33">
        <f t="shared" si="20"/>
        <v>93.887107</v>
      </c>
      <c r="G76" s="33">
        <f t="shared" si="20"/>
        <v>97.128591999999998</v>
      </c>
      <c r="H76" s="21">
        <f t="shared" si="17"/>
        <v>3.452534755384451E-2</v>
      </c>
      <c r="I76" s="31">
        <f t="shared" si="18"/>
        <v>145.59721720000002</v>
      </c>
      <c r="J76" s="21">
        <f t="shared" si="19"/>
        <v>-0.33289527184726997</v>
      </c>
      <c r="K76" s="25"/>
      <c r="L76" s="25"/>
    </row>
    <row r="77" spans="1:12" x14ac:dyDescent="0.25">
      <c r="A77" s="22" t="s">
        <v>22</v>
      </c>
      <c r="B77" s="6" t="s">
        <v>45</v>
      </c>
      <c r="C77" s="32">
        <f>Forestry!D12</f>
        <v>166.03516500000001</v>
      </c>
      <c r="D77" s="32">
        <f>Forestry!E12</f>
        <v>181.38229200000001</v>
      </c>
      <c r="E77" s="32">
        <f>Forestry!F12</f>
        <v>114.69051399999999</v>
      </c>
      <c r="F77" s="32">
        <f>Forestry!G12</f>
        <v>57.668880999999999</v>
      </c>
      <c r="G77" s="32">
        <f>Forestry!H12</f>
        <v>34.660277000000001</v>
      </c>
      <c r="H77" s="23">
        <f t="shared" si="17"/>
        <v>-0.39897781266121668</v>
      </c>
      <c r="I77" s="36">
        <f t="shared" si="18"/>
        <v>110.88742579999999</v>
      </c>
      <c r="J77" s="23">
        <f t="shared" si="19"/>
        <v>-0.68742824761290466</v>
      </c>
      <c r="K77" s="8" t="str">
        <f>Forestry!L12</f>
        <v>GTA (2023)</v>
      </c>
      <c r="L77" s="8" t="str">
        <f>Forestry!M12</f>
        <v>IHS Global Trade Atlas (GTA) (2023). Unpublished trade data accessed via subscription service. Last Accessed October 2023.</v>
      </c>
    </row>
    <row r="78" spans="1:12" x14ac:dyDescent="0.25">
      <c r="A78" s="37" t="str">
        <f>Forestry!B13</f>
        <v>India</v>
      </c>
      <c r="B78" s="6" t="s">
        <v>45</v>
      </c>
      <c r="C78" s="32">
        <f>Forestry!D13</f>
        <v>2.9413000000000002E-2</v>
      </c>
      <c r="D78" s="32">
        <f>Forestry!E13</f>
        <v>0.92681999999999998</v>
      </c>
      <c r="E78" s="32">
        <f>Forestry!F13</f>
        <v>9.3004309999999997</v>
      </c>
      <c r="F78" s="32">
        <f>Forestry!G13</f>
        <v>15.759029</v>
      </c>
      <c r="G78" s="32">
        <f>Forestry!H13</f>
        <v>14.047753999999999</v>
      </c>
      <c r="H78" s="23">
        <f t="shared" si="17"/>
        <v>-0.10859012950607561</v>
      </c>
      <c r="I78" s="36">
        <f t="shared" si="18"/>
        <v>8.0126893999999993</v>
      </c>
      <c r="J78" s="23">
        <f t="shared" si="19"/>
        <v>0.75318838641118435</v>
      </c>
      <c r="K78" s="8" t="str">
        <f>Forestry!L13</f>
        <v>GTA (2023)</v>
      </c>
      <c r="L78" s="8" t="str">
        <f>Forestry!M13</f>
        <v>IHS Global Trade Atlas (GTA) (2023). Unpublished trade data accessed via subscription service. Last Accessed October 2023.</v>
      </c>
    </row>
    <row r="79" spans="1:12" x14ac:dyDescent="0.25">
      <c r="A79" s="37" t="str">
        <f>Forestry!B14</f>
        <v>Korea, South</v>
      </c>
      <c r="B79" s="6" t="s">
        <v>45</v>
      </c>
      <c r="C79" s="32">
        <f>Forestry!D14</f>
        <v>4.9500849999999996</v>
      </c>
      <c r="D79" s="32">
        <f>Forestry!E14</f>
        <v>5.4842500000000003</v>
      </c>
      <c r="E79" s="32">
        <f>Forestry!F14</f>
        <v>14.915404000000001</v>
      </c>
      <c r="F79" s="32">
        <f>Forestry!G14</f>
        <v>25.476046</v>
      </c>
      <c r="G79" s="32">
        <f>Forestry!H14</f>
        <v>6.1070130000000002</v>
      </c>
      <c r="H79" s="23">
        <f t="shared" si="17"/>
        <v>-0.76028411159251319</v>
      </c>
      <c r="I79" s="36">
        <f t="shared" si="18"/>
        <v>11.3865596</v>
      </c>
      <c r="J79" s="23">
        <f t="shared" si="19"/>
        <v>-0.46366477544279483</v>
      </c>
      <c r="K79" s="8" t="str">
        <f>Forestry!L14</f>
        <v>GTA (2023)</v>
      </c>
      <c r="L79" s="8" t="str">
        <f>Forestry!M14</f>
        <v>IHS Global Trade Atlas (GTA) (2023). Unpublished trade data accessed via subscription service. Last Accessed October 2023.</v>
      </c>
    </row>
    <row r="80" spans="1:12" x14ac:dyDescent="0.25">
      <c r="A80" s="37" t="str">
        <f>Forestry!B15</f>
        <v>Taiwan</v>
      </c>
      <c r="B80" s="6" t="s">
        <v>45</v>
      </c>
      <c r="C80" s="32">
        <f>Forestry!D15</f>
        <v>8.3387419999999999</v>
      </c>
      <c r="D80" s="32">
        <f>Forestry!E15</f>
        <v>9.3894090000000006</v>
      </c>
      <c r="E80" s="32">
        <f>Forestry!F15</f>
        <v>5.633222</v>
      </c>
      <c r="F80" s="32">
        <f>Forestry!G15</f>
        <v>4.782349</v>
      </c>
      <c r="G80" s="32">
        <f>Forestry!H15</f>
        <v>4.5172759999999998</v>
      </c>
      <c r="H80" s="23">
        <f t="shared" si="17"/>
        <v>-5.5427364251333433E-2</v>
      </c>
      <c r="I80" s="36">
        <f t="shared" si="18"/>
        <v>6.5321996000000002</v>
      </c>
      <c r="J80" s="23">
        <f t="shared" si="19"/>
        <v>-0.3084602007568783</v>
      </c>
      <c r="K80" s="8" t="str">
        <f>Forestry!L15</f>
        <v>GTA (2023)</v>
      </c>
      <c r="L80" s="8" t="str">
        <f>Forestry!M15</f>
        <v>IHS Global Trade Atlas (GTA) (2023). Unpublished trade data accessed via subscription service. Last Accessed October 2023.</v>
      </c>
    </row>
    <row r="81" spans="1:12" x14ac:dyDescent="0.25">
      <c r="A81" s="22" t="s">
        <v>23</v>
      </c>
      <c r="B81" s="6" t="s">
        <v>45</v>
      </c>
      <c r="C81" s="32">
        <f>Fisheries!D10</f>
        <v>24.127068999999999</v>
      </c>
      <c r="D81" s="32">
        <f>Fisheries!E10</f>
        <v>21.803750999999998</v>
      </c>
      <c r="E81" s="32">
        <f>Fisheries!F10</f>
        <v>28.931595999999999</v>
      </c>
      <c r="F81" s="32">
        <f>Fisheries!G10</f>
        <v>36.218226000000001</v>
      </c>
      <c r="G81" s="32">
        <f>Fisheries!H10</f>
        <v>62.468314999999997</v>
      </c>
      <c r="H81" s="23">
        <f t="shared" si="17"/>
        <v>0.7247756695758647</v>
      </c>
      <c r="I81" s="36">
        <f t="shared" si="18"/>
        <v>34.7097914</v>
      </c>
      <c r="J81" s="23">
        <f t="shared" si="19"/>
        <v>0.79973178980268944</v>
      </c>
      <c r="K81" s="8" t="str">
        <f>Fisheries!L10</f>
        <v>GTA (2023)</v>
      </c>
      <c r="L81" s="8" t="str">
        <f>Fisheries!M10</f>
        <v>IHS Global Trade Atlas (GTA) (2023). Unpublished trade data accessed via subscription service. Last Accessed October 2023.</v>
      </c>
    </row>
    <row r="82" spans="1:12" x14ac:dyDescent="0.25">
      <c r="A82" s="37" t="str">
        <f>Fisheries!B11</f>
        <v>China</v>
      </c>
      <c r="B82" s="6" t="s">
        <v>45</v>
      </c>
      <c r="C82" s="32">
        <f>Fisheries!D11</f>
        <v>5.1721979999999999</v>
      </c>
      <c r="D82" s="32">
        <f>Fisheries!E11</f>
        <v>5.6472160000000002</v>
      </c>
      <c r="E82" s="32">
        <f>Fisheries!F11</f>
        <v>5.5677510000000003</v>
      </c>
      <c r="F82" s="32">
        <f>Fisheries!G11</f>
        <v>13.517689000000001</v>
      </c>
      <c r="G82" s="32">
        <f>Fisheries!H11</f>
        <v>29.343643</v>
      </c>
      <c r="H82" s="23">
        <f t="shared" si="17"/>
        <v>1.1707588479066207</v>
      </c>
      <c r="I82" s="36">
        <f t="shared" si="18"/>
        <v>11.8496994</v>
      </c>
      <c r="J82" s="23">
        <f t="shared" si="19"/>
        <v>1.4763196102679195</v>
      </c>
      <c r="K82" s="8" t="str">
        <f>Fisheries!L11</f>
        <v>GTA (2023)</v>
      </c>
      <c r="L82" s="8" t="str">
        <f>Fisheries!M11</f>
        <v>IHS Global Trade Atlas (GTA) (2023). Unpublished trade data accessed via subscription service. Last Accessed October 2023.</v>
      </c>
    </row>
    <row r="83" spans="1:12" x14ac:dyDescent="0.25">
      <c r="A83" s="37" t="str">
        <f>Fisheries!B12</f>
        <v>United States</v>
      </c>
      <c r="B83" s="6" t="s">
        <v>45</v>
      </c>
      <c r="C83" s="32">
        <f>Fisheries!D12</f>
        <v>2.2187269999999999</v>
      </c>
      <c r="D83" s="32">
        <f>Fisheries!E12</f>
        <v>3.1938059999999999</v>
      </c>
      <c r="E83" s="32">
        <f>Fisheries!F12</f>
        <v>5.8365840000000002</v>
      </c>
      <c r="F83" s="32">
        <f>Fisheries!G12</f>
        <v>6.7467119999999996</v>
      </c>
      <c r="G83" s="32">
        <f>Fisheries!H12</f>
        <v>9.6257520000000003</v>
      </c>
      <c r="H83" s="23">
        <f t="shared" si="17"/>
        <v>0.42673231049435656</v>
      </c>
      <c r="I83" s="36">
        <f t="shared" si="18"/>
        <v>5.5243161999999995</v>
      </c>
      <c r="J83" s="23">
        <f t="shared" si="19"/>
        <v>0.74243320829463033</v>
      </c>
      <c r="K83" s="8" t="str">
        <f>Fisheries!L12</f>
        <v>GTA (2023)</v>
      </c>
      <c r="L83" s="8" t="str">
        <f>Fisheries!M12</f>
        <v>IHS Global Trade Atlas (GTA) (2023). Unpublished trade data accessed via subscription service. Last Accessed October 2023.</v>
      </c>
    </row>
    <row r="84" spans="1:12" x14ac:dyDescent="0.25">
      <c r="A84" s="37" t="str">
        <f>Fisheries!B13</f>
        <v>Japan</v>
      </c>
      <c r="B84" s="6" t="s">
        <v>45</v>
      </c>
      <c r="C84" s="32">
        <f>Fisheries!D13</f>
        <v>11.376431999999999</v>
      </c>
      <c r="D84" s="32">
        <f>Fisheries!E13</f>
        <v>9.4810359999999996</v>
      </c>
      <c r="E84" s="32">
        <f>Fisheries!F13</f>
        <v>9.9273500000000006</v>
      </c>
      <c r="F84" s="32">
        <f>Fisheries!G13</f>
        <v>4.4715400000000001</v>
      </c>
      <c r="G84" s="32">
        <f>Fisheries!H13</f>
        <v>7.4532400000000001</v>
      </c>
      <c r="H84" s="23">
        <f t="shared" si="17"/>
        <v>0.66681724864364411</v>
      </c>
      <c r="I84" s="36">
        <f t="shared" si="18"/>
        <v>8.5419195999999999</v>
      </c>
      <c r="J84" s="23">
        <f t="shared" si="19"/>
        <v>-0.12745139862941346</v>
      </c>
      <c r="K84" s="8" t="str">
        <f>Fisheries!L13</f>
        <v>GTA (2023)</v>
      </c>
      <c r="L84" s="8" t="str">
        <f>Fisheries!M13</f>
        <v>IHS Global Trade Atlas (GTA) (2023). Unpublished trade data accessed via subscription service. Last Accessed October 2023.</v>
      </c>
    </row>
    <row r="85" spans="1:12" x14ac:dyDescent="0.25">
      <c r="A85" s="9" t="s">
        <v>267</v>
      </c>
      <c r="B85" s="9" t="s">
        <v>45</v>
      </c>
      <c r="C85" s="33">
        <f>+C86-SUM(C2,C34,C43,C76)</f>
        <v>594.94892599999912</v>
      </c>
      <c r="D85" s="33">
        <f t="shared" ref="D85:G85" si="21">+D86-SUM(D2,D34,D43,D76)</f>
        <v>567.39980500000001</v>
      </c>
      <c r="E85" s="33">
        <f t="shared" si="21"/>
        <v>653.417238</v>
      </c>
      <c r="F85" s="33">
        <f t="shared" si="21"/>
        <v>813.35145499999999</v>
      </c>
      <c r="G85" s="33">
        <f t="shared" si="21"/>
        <v>696.07520199999999</v>
      </c>
      <c r="H85" s="21">
        <f t="shared" si="17"/>
        <v>-0.14418890170916332</v>
      </c>
      <c r="I85" s="31">
        <f t="shared" si="18"/>
        <v>665.03852519999987</v>
      </c>
      <c r="J85" s="21">
        <f t="shared" si="19"/>
        <v>4.6668990778641506E-2</v>
      </c>
      <c r="K85" s="25"/>
      <c r="L85" s="25"/>
    </row>
    <row r="86" spans="1:12" x14ac:dyDescent="0.25">
      <c r="A86" s="15" t="s">
        <v>205</v>
      </c>
      <c r="B86" s="9" t="s">
        <v>45</v>
      </c>
      <c r="C86" s="33">
        <v>5019.2534530000003</v>
      </c>
      <c r="D86" s="33">
        <v>5126.3323300000002</v>
      </c>
      <c r="E86" s="33">
        <v>6344.1148119999998</v>
      </c>
      <c r="F86" s="33">
        <v>9740.5290690000002</v>
      </c>
      <c r="G86" s="33">
        <v>9891.9823149999993</v>
      </c>
      <c r="H86" s="21">
        <f t="shared" si="17"/>
        <v>1.5548769982321797E-2</v>
      </c>
      <c r="I86" s="31">
        <f t="shared" si="18"/>
        <v>7224.4423957999998</v>
      </c>
      <c r="J86" s="21">
        <f t="shared" si="19"/>
        <v>0.36923817411165194</v>
      </c>
      <c r="K86" s="11"/>
      <c r="L86" s="11"/>
    </row>
    <row r="87" spans="1:12" x14ac:dyDescent="0.25">
      <c r="A87" s="26" t="s">
        <v>43</v>
      </c>
      <c r="B87" s="27"/>
      <c r="C87" s="27"/>
      <c r="D87" s="27"/>
      <c r="E87" s="27"/>
      <c r="F87" s="27"/>
      <c r="G87" s="27"/>
      <c r="H87" s="28"/>
      <c r="I87" s="28"/>
      <c r="J87" s="28"/>
      <c r="K87" s="13"/>
      <c r="L87" s="13"/>
    </row>
    <row r="88" spans="1:12" x14ac:dyDescent="0.25">
      <c r="A88" s="13" t="s">
        <v>268</v>
      </c>
      <c r="B88" s="13"/>
      <c r="C88" s="13"/>
      <c r="D88" s="13"/>
      <c r="E88" s="13"/>
      <c r="F88" s="13"/>
      <c r="G88" s="13"/>
      <c r="H88" s="29"/>
      <c r="I88" s="29"/>
      <c r="J88" s="29"/>
      <c r="K88" s="13"/>
      <c r="L88" s="13"/>
    </row>
    <row r="89" spans="1:12" x14ac:dyDescent="0.25">
      <c r="A89" s="13" t="s">
        <v>269</v>
      </c>
      <c r="B89" s="13"/>
      <c r="C89" s="13"/>
      <c r="D89" s="13"/>
      <c r="E89" s="13"/>
      <c r="F89" s="13"/>
      <c r="G89" s="13"/>
      <c r="H89" s="29"/>
      <c r="I89" s="29"/>
      <c r="J89" s="29"/>
      <c r="K89" s="13"/>
      <c r="L89" s="13"/>
    </row>
    <row r="90" spans="1:12" x14ac:dyDescent="0.25">
      <c r="A90" s="13" t="s">
        <v>320</v>
      </c>
      <c r="B90" s="13"/>
      <c r="C90" s="13"/>
      <c r="D90" s="13"/>
      <c r="E90" s="13"/>
      <c r="F90" s="13"/>
      <c r="G90" s="13"/>
      <c r="H90" s="29"/>
      <c r="I90" s="29"/>
      <c r="J90" s="29"/>
      <c r="K90" s="13"/>
      <c r="L90" s="13"/>
    </row>
    <row r="91" spans="1:12" x14ac:dyDescent="0.25">
      <c r="A91" s="13" t="s">
        <v>271</v>
      </c>
      <c r="B91" s="13"/>
      <c r="C91" s="13"/>
      <c r="D91" s="13"/>
      <c r="E91" s="13"/>
      <c r="F91" s="13"/>
      <c r="G91" s="13"/>
      <c r="H91" s="29"/>
      <c r="I91" s="29"/>
      <c r="J91" s="29"/>
      <c r="K91" s="13"/>
      <c r="L91" s="13"/>
    </row>
  </sheetData>
  <conditionalFormatting sqref="H86:L86 B26:E26 B14:G14 A15:G25 A2:G13 A27:E85 C26:G85 F2:L84 A86:B86">
    <cfRule type="expression" dxfId="46" priority="13">
      <formula>MOD(ROW(),2)=0</formula>
    </cfRule>
  </conditionalFormatting>
  <conditionalFormatting sqref="K85:L85">
    <cfRule type="expression" dxfId="45" priority="12">
      <formula>MOD(ROW(),2)=0</formula>
    </cfRule>
  </conditionalFormatting>
  <conditionalFormatting sqref="H85:J85">
    <cfRule type="expression" dxfId="44" priority="11">
      <formula>MOD(ROW(),2)=0</formula>
    </cfRule>
  </conditionalFormatting>
  <conditionalFormatting sqref="F85:G85">
    <cfRule type="expression" dxfId="43" priority="9">
      <formula>MOD(ROW(),2)=0</formula>
    </cfRule>
  </conditionalFormatting>
  <conditionalFormatting sqref="A26">
    <cfRule type="expression" dxfId="42" priority="8">
      <formula>MOD(ROW(),2)=0</formula>
    </cfRule>
  </conditionalFormatting>
  <conditionalFormatting sqref="A14">
    <cfRule type="expression" dxfId="41" priority="7">
      <formula>MOD(ROW(),2)=0</formula>
    </cfRule>
  </conditionalFormatting>
  <conditionalFormatting sqref="C86:G86">
    <cfRule type="expression" dxfId="40" priority="5">
      <formula>MOD(ROW(),2)=0</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B9AF0-0734-416E-9292-50153B09BD29}">
  <sheetPr codeName="Sheet26"/>
  <dimension ref="A1:L65"/>
  <sheetViews>
    <sheetView workbookViewId="0"/>
  </sheetViews>
  <sheetFormatPr defaultRowHeight="15" x14ac:dyDescent="0.25"/>
  <cols>
    <col min="1" max="1" width="36.7109375" customWidth="1"/>
    <col min="3" max="6" width="9.7109375" bestFit="1" customWidth="1"/>
    <col min="7" max="7" width="10.28515625" bestFit="1" customWidth="1"/>
    <col min="9" max="9" width="9.7109375" bestFit="1" customWidth="1"/>
  </cols>
  <sheetData>
    <row r="1" spans="1:12" ht="48.75" x14ac:dyDescent="0.25">
      <c r="A1" s="5" t="s">
        <v>199</v>
      </c>
      <c r="B1" s="5" t="s">
        <v>44</v>
      </c>
      <c r="C1" s="5" t="str">
        <f>+'Gross Value of Production'!C1</f>
        <v>2018-19</v>
      </c>
      <c r="D1" s="5" t="str">
        <f>+'Gross Value of Production'!D1</f>
        <v>2019-20</v>
      </c>
      <c r="E1" s="5" t="str">
        <f>+'Gross Value of Production'!E1</f>
        <v>2020-21</v>
      </c>
      <c r="F1" s="5" t="str">
        <f>+'Gross Value of Production'!F1</f>
        <v>2021-22s</v>
      </c>
      <c r="G1" s="5" t="str">
        <f>+'Gross Value of Production'!G1</f>
        <v>2022-23e</v>
      </c>
      <c r="H1" s="19" t="s">
        <v>47</v>
      </c>
      <c r="I1" s="19" t="s">
        <v>48</v>
      </c>
      <c r="J1" s="19" t="s">
        <v>49</v>
      </c>
      <c r="K1" s="9" t="s">
        <v>50</v>
      </c>
      <c r="L1" s="9" t="s">
        <v>51</v>
      </c>
    </row>
    <row r="2" spans="1:12" x14ac:dyDescent="0.25">
      <c r="A2" s="9" t="s">
        <v>31</v>
      </c>
      <c r="B2" s="9" t="s">
        <v>45</v>
      </c>
      <c r="C2" s="30">
        <f t="shared" ref="C2:G2" si="0">SUM(C3,C4,C5,C6,C7,C8,C9,C10)</f>
        <v>174.75385468000002</v>
      </c>
      <c r="D2" s="30">
        <f t="shared" si="0"/>
        <v>394.55720409999998</v>
      </c>
      <c r="E2" s="35">
        <f t="shared" si="0"/>
        <v>216.11130686999999</v>
      </c>
      <c r="F2" s="35">
        <f t="shared" si="0"/>
        <v>142.87363594000004</v>
      </c>
      <c r="G2" s="35">
        <f t="shared" si="0"/>
        <v>165.15010135</v>
      </c>
      <c r="H2" s="135">
        <f>IF(ISBLANK(G2),"N/A",IF(ISNA(G2/F2-1),"N/A",IF(ISERROR(G2/F2-1),"N/A",G2/F2-1)))</f>
        <v>0.15591725697633252</v>
      </c>
      <c r="I2" s="31">
        <f>IF(ISBLANK(G2),"",IF(ISNA(AVERAGE(C2:G2)),"N/A",IF(ISERROR(AVERAGE(C2:G2)),"N/A",AVERAGE(C2:G2))))</f>
        <v>218.68922058799998</v>
      </c>
      <c r="J2" s="135">
        <f>IF(ISBLANK(G2),"",IF(ISNA(G2/AVERAGE(C2:G2)-1),"N/A",IF(ISERROR(G2/AVERAGE(C2:G2)-1),"N/A",G2/AVERAGE(C2:G2)-1)))</f>
        <v>-0.24481828182498822</v>
      </c>
      <c r="K2" s="11"/>
      <c r="L2" s="11"/>
    </row>
    <row r="3" spans="1:12" x14ac:dyDescent="0.25">
      <c r="A3" s="22" t="s">
        <v>7</v>
      </c>
      <c r="B3" s="6" t="s">
        <v>45</v>
      </c>
      <c r="C3" s="32">
        <f>+Wheat!D12</f>
        <v>42.700044290000001</v>
      </c>
      <c r="D3" s="32">
        <f>+Wheat!E12</f>
        <v>209.45143615999999</v>
      </c>
      <c r="E3" s="32">
        <f>+Wheat!F12</f>
        <v>81.377630409999995</v>
      </c>
      <c r="F3" s="32">
        <f>+Wheat!G12</f>
        <v>0.36599771000000003</v>
      </c>
      <c r="G3" s="32">
        <f>+Wheat!H12</f>
        <v>0.12195565</v>
      </c>
      <c r="H3" s="136">
        <f>+Wheat!I12</f>
        <v>-0.66678575666498019</v>
      </c>
      <c r="I3" s="32">
        <f>+Wheat!J12</f>
        <v>66.803412843999993</v>
      </c>
      <c r="J3" s="136">
        <f>+Wheat!K12</f>
        <v>-0.99817440988703987</v>
      </c>
      <c r="K3" s="8" t="str">
        <f>+Wheat!L12</f>
        <v>GTA (2023)</v>
      </c>
      <c r="L3" s="8" t="str">
        <f>+Wheat!M12</f>
        <v>IHS Global Trade Atlas (GTA) (2023). Unpublished trade data accessed via subscription service. Last Accessed October 2023.</v>
      </c>
    </row>
    <row r="4" spans="1:12" x14ac:dyDescent="0.25">
      <c r="A4" s="22" t="s">
        <v>263</v>
      </c>
      <c r="B4" s="6" t="s">
        <v>45</v>
      </c>
      <c r="C4" s="32">
        <f>Barley!D12</f>
        <v>0.13936525</v>
      </c>
      <c r="D4" s="32">
        <f>Barley!E12</f>
        <v>0.12676381</v>
      </c>
      <c r="E4" s="32">
        <f>Barley!F12</f>
        <v>7.9234540000000006E-2</v>
      </c>
      <c r="F4" s="32">
        <f>Barley!G12</f>
        <v>2.9418389999999999E-2</v>
      </c>
      <c r="G4" s="32">
        <f>Barley!H12</f>
        <v>1.2190290000000001E-2</v>
      </c>
      <c r="H4" s="136">
        <f>Barley!I12</f>
        <v>-0.58562348245434226</v>
      </c>
      <c r="I4" s="32">
        <f>Barley!J12</f>
        <v>7.7394456000000014E-2</v>
      </c>
      <c r="J4" s="136">
        <f>Barley!K12</f>
        <v>-0.84249143116917835</v>
      </c>
      <c r="K4" s="8" t="str">
        <f>Barley!L12</f>
        <v>GTA (2023)</v>
      </c>
      <c r="L4" s="8" t="str">
        <f>Barley!M12</f>
        <v>IHS Global Trade Atlas (GTA) (2023). Unpublished trade data accessed via subscription service. Last Accessed October 2023.</v>
      </c>
    </row>
    <row r="5" spans="1:12" x14ac:dyDescent="0.25">
      <c r="A5" s="22" t="s">
        <v>9</v>
      </c>
      <c r="B5" s="6" t="s">
        <v>45</v>
      </c>
      <c r="C5" s="32">
        <f>Rice!D11</f>
        <v>96.016589249999996</v>
      </c>
      <c r="D5" s="32">
        <f>Rice!E11</f>
        <v>148.43806641999998</v>
      </c>
      <c r="E5" s="32">
        <f>Rice!F11</f>
        <v>103.98743898000001</v>
      </c>
      <c r="F5" s="32">
        <f>Rice!G11</f>
        <v>105.92654983000001</v>
      </c>
      <c r="G5" s="32">
        <f>Rice!H11</f>
        <v>123.66780653999999</v>
      </c>
      <c r="H5" s="136">
        <f>Rice!I11</f>
        <v>0.16748640202548515</v>
      </c>
      <c r="I5" s="32">
        <f>Rice!J11</f>
        <v>115.60729020399999</v>
      </c>
      <c r="J5" s="136">
        <f>Rice!K11</f>
        <v>6.9723252934797086E-2</v>
      </c>
      <c r="K5" s="8" t="str">
        <f>Rice!L11</f>
        <v>GTA (2023)</v>
      </c>
      <c r="L5" s="8" t="str">
        <f>Rice!M11</f>
        <v>IHS Global Trade Atlas (GTA) (2023). Unpublished trade data accessed via subscription service. Last Accessed October 2023.</v>
      </c>
    </row>
    <row r="6" spans="1:12" x14ac:dyDescent="0.25">
      <c r="A6" s="22" t="s">
        <v>32</v>
      </c>
      <c r="B6" s="6" t="s">
        <v>45</v>
      </c>
      <c r="C6" s="32">
        <f>+'Coarse Grains'!D12</f>
        <v>0</v>
      </c>
      <c r="D6" s="32">
        <f>+'Coarse Grains'!E12</f>
        <v>0</v>
      </c>
      <c r="E6" s="32">
        <f>+'Coarse Grains'!F12</f>
        <v>0</v>
      </c>
      <c r="F6" s="32">
        <f>+'Coarse Grains'!G12</f>
        <v>1.2479100000000001E-3</v>
      </c>
      <c r="G6" s="32">
        <f>+'Coarse Grains'!H12</f>
        <v>6.6449679999999997E-2</v>
      </c>
      <c r="H6" s="136">
        <f>+'Coarse Grains'!I12</f>
        <v>52.248775953394066</v>
      </c>
      <c r="I6" s="32">
        <f>+'Coarse Grains'!J12</f>
        <v>1.3539518E-2</v>
      </c>
      <c r="J6" s="136">
        <f>+'Coarse Grains'!K12</f>
        <v>3.9078320217898446</v>
      </c>
      <c r="K6" s="8" t="str">
        <f>+'Coarse Grains'!L12</f>
        <v>GTA (2023)</v>
      </c>
      <c r="L6" s="8" t="str">
        <f>+'Coarse Grains'!M12</f>
        <v>IHS Global Trade Atlas (GTA) (2023). Unpublished trade data accessed via subscription service. Last Accessed October 2023.</v>
      </c>
    </row>
    <row r="7" spans="1:12" x14ac:dyDescent="0.25">
      <c r="A7" s="22" t="s">
        <v>10</v>
      </c>
      <c r="B7" s="6" t="s">
        <v>45</v>
      </c>
      <c r="C7" s="32">
        <f>+Pulses!D12</f>
        <v>13.4519041</v>
      </c>
      <c r="D7" s="32">
        <f>+Pulses!E12</f>
        <v>15.87296199</v>
      </c>
      <c r="E7" s="32">
        <f>+Pulses!F12</f>
        <v>15.576629969999999</v>
      </c>
      <c r="F7" s="32">
        <f>+Pulses!G12</f>
        <v>15.93127982</v>
      </c>
      <c r="G7" s="32">
        <f>+Pulses!H12</f>
        <v>13.8134792</v>
      </c>
      <c r="H7" s="136">
        <f>+Pulses!I12</f>
        <v>-0.1329334895832619</v>
      </c>
      <c r="I7" s="32">
        <f>+Pulses!J12</f>
        <v>14.929251016</v>
      </c>
      <c r="J7" s="136">
        <f>+Pulses!K12</f>
        <v>-7.4737293572477492E-2</v>
      </c>
      <c r="K7" s="8" t="str">
        <f>+Pulses!L12</f>
        <v>GTA (2023)</v>
      </c>
      <c r="L7" s="8" t="str">
        <f>+Pulses!M12</f>
        <v>IHS Global Trade Atlas (GTA) (2023). Unpublished trade data accessed via subscription service. Last Accessed October 2023.</v>
      </c>
    </row>
    <row r="8" spans="1:12" x14ac:dyDescent="0.25">
      <c r="A8" s="22" t="s">
        <v>11</v>
      </c>
      <c r="B8" s="6" t="s">
        <v>45</v>
      </c>
      <c r="C8" s="32">
        <f>+Oilseeds!D13</f>
        <v>18.58545462</v>
      </c>
      <c r="D8" s="32">
        <f>+Oilseeds!E13</f>
        <v>16.394418980000001</v>
      </c>
      <c r="E8" s="32">
        <f>+Oilseeds!F13</f>
        <v>11.732509179999999</v>
      </c>
      <c r="F8" s="32">
        <f>+Oilseeds!G13</f>
        <v>17.801829820000002</v>
      </c>
      <c r="G8" s="32">
        <f>+Oilseeds!H13</f>
        <v>23.487703510000003</v>
      </c>
      <c r="H8" s="136">
        <f>+Oilseeds!I13</f>
        <v>0.31939827239624741</v>
      </c>
      <c r="I8" s="32">
        <f>+Oilseeds!J13</f>
        <v>17.600383222000001</v>
      </c>
      <c r="J8" s="136">
        <f>+Oilseeds!K13</f>
        <v>0.33449955115982988</v>
      </c>
      <c r="K8" s="8" t="str">
        <f>+Oilseeds!L13</f>
        <v>GTA (2023)</v>
      </c>
      <c r="L8" s="8" t="str">
        <f>+Oilseeds!M13</f>
        <v>IHS Global Trade Atlas (GTA) (2023). Unpublished trade data accessed via subscription service. Last Accessed October 2023.</v>
      </c>
    </row>
    <row r="9" spans="1:12" x14ac:dyDescent="0.25">
      <c r="A9" s="22" t="s">
        <v>264</v>
      </c>
      <c r="B9" s="6" t="s">
        <v>45</v>
      </c>
      <c r="C9" s="32">
        <f>+'Cotton Lint'!D12</f>
        <v>4.6690769999999999E-2</v>
      </c>
      <c r="D9" s="32">
        <f>+'Cotton Lint'!E12</f>
        <v>1.3557669999999999E-2</v>
      </c>
      <c r="E9" s="32">
        <f>+'Cotton Lint'!F12</f>
        <v>2.2016560000000001E-2</v>
      </c>
      <c r="F9" s="32">
        <f>+'Cotton Lint'!G12</f>
        <v>5.7569799999999992E-3</v>
      </c>
      <c r="G9" s="32">
        <f>+'Cotton Lint'!H12</f>
        <v>8.1355190000000008E-2</v>
      </c>
      <c r="H9" s="136">
        <f>+'Cotton Lint'!I12</f>
        <v>13.131574193413911</v>
      </c>
      <c r="I9" s="32">
        <f>+'Cotton Lint'!J12</f>
        <v>3.3875434000000003E-2</v>
      </c>
      <c r="J9" s="136">
        <f>+'Cotton Lint'!K12</f>
        <v>1.4015984562736525</v>
      </c>
      <c r="K9" s="8" t="str">
        <f>+'Cotton Lint'!L12</f>
        <v>GTA (2023)</v>
      </c>
      <c r="L9" s="8" t="str">
        <f>+'Cotton Lint'!M12</f>
        <v>IHS Global Trade Atlas (GTA) (2023). Unpublished trade data accessed via subscription service. Last Accessed October 2023.</v>
      </c>
    </row>
    <row r="10" spans="1:12" x14ac:dyDescent="0.25">
      <c r="A10" s="22" t="s">
        <v>13</v>
      </c>
      <c r="B10" s="6" t="s">
        <v>45</v>
      </c>
      <c r="C10" s="32">
        <f>+Sugarcane!D13</f>
        <v>3.8138064000000003</v>
      </c>
      <c r="D10" s="32">
        <f>+Sugarcane!E13</f>
        <v>4.2599990700000001</v>
      </c>
      <c r="E10" s="32">
        <f>+Sugarcane!F13</f>
        <v>3.3358472300000002</v>
      </c>
      <c r="F10" s="32">
        <f>+Sugarcane!G13</f>
        <v>2.81155548</v>
      </c>
      <c r="G10" s="32">
        <f>+Sugarcane!H13</f>
        <v>3.8991612899999999</v>
      </c>
      <c r="H10" s="136">
        <f>+Sugarcane!I13</f>
        <v>0.38683419827091581</v>
      </c>
      <c r="I10" s="32">
        <f>+Sugarcane!J13</f>
        <v>3.6240738939999999</v>
      </c>
      <c r="J10" s="136">
        <f>+Sugarcane!K13</f>
        <v>7.5905570373560272E-2</v>
      </c>
      <c r="K10" s="8" t="str">
        <f>+Sugarcane!L13</f>
        <v>GTA (2023)</v>
      </c>
      <c r="L10" s="8" t="str">
        <f>+Sugarcane!M13</f>
        <v>IHS Global Trade Atlas (GTA) (2023). Unpublished trade data accessed via subscription service. Last Accessed October 2023.</v>
      </c>
    </row>
    <row r="11" spans="1:12" x14ac:dyDescent="0.25">
      <c r="A11" s="9" t="s">
        <v>265</v>
      </c>
      <c r="B11" s="9" t="s">
        <v>45</v>
      </c>
      <c r="C11" s="33">
        <f t="shared" ref="C11:G11" si="1">SUM(C12)</f>
        <v>1110.1252675999999</v>
      </c>
      <c r="D11" s="33">
        <f t="shared" si="1"/>
        <v>1227.59916279</v>
      </c>
      <c r="E11" s="33">
        <f t="shared" si="1"/>
        <v>1313.1326507199999</v>
      </c>
      <c r="F11" s="33">
        <f t="shared" si="1"/>
        <v>1231.0799839700003</v>
      </c>
      <c r="G11" s="33">
        <f t="shared" si="1"/>
        <v>1385.7185116100002</v>
      </c>
      <c r="H11" s="135">
        <f>IF(ISBLANK(G11),"N/A",IF(ISNA(G11/F11-1),"N/A",IF(ISERROR(G11/F11-1),"N/A",G11/F11-1)))</f>
        <v>0.12561208829122528</v>
      </c>
      <c r="I11" s="31">
        <f>IF(ISBLANK(G11),"",IF(ISNA(AVERAGE(C11:G11)),"N/A",IF(ISERROR(AVERAGE(C11:G11)),"N/A",AVERAGE(C11:G11))))</f>
        <v>1253.5311153380001</v>
      </c>
      <c r="J11" s="135">
        <f>IF(ISBLANK(G11),"",IF(ISNA(G11/AVERAGE(C11:G11)-1),"N/A",IF(ISERROR(G11/AVERAGE(C11:G11)-1),"N/A",G11/AVERAGE(C11:G11)-1)))</f>
        <v>0.10545202640331541</v>
      </c>
      <c r="K11" s="25"/>
      <c r="L11" s="25"/>
    </row>
    <row r="12" spans="1:12" x14ac:dyDescent="0.25">
      <c r="A12" s="22" t="s">
        <v>14</v>
      </c>
      <c r="B12" s="6" t="s">
        <v>45</v>
      </c>
      <c r="C12" s="32">
        <f>+Horticulture!D19</f>
        <v>1110.1252675999999</v>
      </c>
      <c r="D12" s="32">
        <f>+Horticulture!E19</f>
        <v>1227.59916279</v>
      </c>
      <c r="E12" s="32">
        <f>+Horticulture!F19</f>
        <v>1313.1326507199999</v>
      </c>
      <c r="F12" s="32">
        <f>+Horticulture!G19</f>
        <v>1231.0799839700003</v>
      </c>
      <c r="G12" s="32">
        <f>+Horticulture!H19</f>
        <v>1385.7185116100002</v>
      </c>
      <c r="H12" s="136">
        <f>+Horticulture!I19</f>
        <v>0.12561208829122528</v>
      </c>
      <c r="I12" s="32">
        <f>+Horticulture!J19</f>
        <v>1253.5311153380001</v>
      </c>
      <c r="J12" s="136">
        <f>+Horticulture!K19</f>
        <v>0.10545202640331541</v>
      </c>
      <c r="K12" s="8" t="str">
        <f>+Horticulture!L19</f>
        <v>GTA (2023)</v>
      </c>
      <c r="L12" s="8" t="str">
        <f>+Horticulture!M19</f>
        <v>IHS Global Trade Atlas (GTA) (2023). Unpublished trade data accessed via subscription service. Last Accessed October 2023.</v>
      </c>
    </row>
    <row r="13" spans="1:12" x14ac:dyDescent="0.25">
      <c r="A13" s="22" t="s">
        <v>266</v>
      </c>
      <c r="B13" s="6" t="s">
        <v>45</v>
      </c>
      <c r="C13" s="32">
        <f>+Wine!D12</f>
        <v>265.55277066000002</v>
      </c>
      <c r="D13" s="32">
        <f>+Wine!E12</f>
        <v>259.39533554000002</v>
      </c>
      <c r="E13" s="32">
        <f>+Wine!F12</f>
        <v>242.0369599</v>
      </c>
      <c r="F13" s="32">
        <f>+Wine!G12</f>
        <v>298.20472947000002</v>
      </c>
      <c r="G13" s="32">
        <f>+Wine!H12</f>
        <v>315.80305208999999</v>
      </c>
      <c r="H13" s="136">
        <f>+Wine!I12</f>
        <v>5.9014230429133452E-2</v>
      </c>
      <c r="I13" s="32">
        <f>+Wine!J12</f>
        <v>276.19856953200002</v>
      </c>
      <c r="J13" s="136">
        <f>+Wine!K12</f>
        <v>0.14339133843128549</v>
      </c>
      <c r="K13" s="8" t="str">
        <f>+Wine!L12</f>
        <v>GTA (2023)</v>
      </c>
      <c r="L13" s="8" t="str">
        <f>+Wine!M12</f>
        <v>IHS Global Trade Atlas (GTA) (2023). Unpublished trade data accessed via subscription service. Last Accessed October 2023.</v>
      </c>
    </row>
    <row r="14" spans="1:12" x14ac:dyDescent="0.25">
      <c r="A14" s="15" t="s">
        <v>38</v>
      </c>
      <c r="B14" s="9" t="s">
        <v>45</v>
      </c>
      <c r="C14" s="33">
        <f t="shared" ref="C14:G14" si="2">SUM(C15,C16,C18,C19,C20,C21,C22)</f>
        <v>187.00166248000002</v>
      </c>
      <c r="D14" s="33">
        <f t="shared" si="2"/>
        <v>252.41545930999999</v>
      </c>
      <c r="E14" s="33">
        <f t="shared" si="2"/>
        <v>210.28821965999998</v>
      </c>
      <c r="F14" s="33">
        <f t="shared" si="2"/>
        <v>256.62392173000001</v>
      </c>
      <c r="G14" s="33">
        <f t="shared" si="2"/>
        <v>280.59917281000008</v>
      </c>
      <c r="H14" s="135">
        <f>IF(ISBLANK(G14),"N/A",IF(ISNA(G14/F14-1),"N/A",IF(ISERROR(G14/F14-1),"N/A",G14/F14-1)))</f>
        <v>9.3425628126847071E-2</v>
      </c>
      <c r="I14" s="31">
        <f>IF(ISBLANK(G14),"",IF(ISNA(AVERAGE(C14:G14)),"N/A",IF(ISERROR(AVERAGE(C14:G14)),"N/A",AVERAGE(C14:G14))))</f>
        <v>237.385687198</v>
      </c>
      <c r="J14" s="135">
        <f>IF(ISBLANK(G14),"",IF(ISNA(G14/AVERAGE(C14:G14)-1),"N/A",IF(ISERROR(G14/AVERAGE(C14:G14)-1),"N/A",G14/AVERAGE(C14:G14)-1)))</f>
        <v>0.18203913690868956</v>
      </c>
      <c r="K14" s="25"/>
      <c r="L14" s="25"/>
    </row>
    <row r="15" spans="1:12" x14ac:dyDescent="0.25">
      <c r="A15" s="22" t="s">
        <v>39</v>
      </c>
      <c r="B15" s="6" t="s">
        <v>45</v>
      </c>
      <c r="C15" s="32">
        <f>+Beef!D17</f>
        <v>6.20261905</v>
      </c>
      <c r="D15" s="32">
        <f>+Beef!E17</f>
        <v>7.7520124099999999</v>
      </c>
      <c r="E15" s="32">
        <f>+Beef!F17</f>
        <v>24.422131149999998</v>
      </c>
      <c r="F15" s="32">
        <f>+Beef!G17</f>
        <v>23.7640779</v>
      </c>
      <c r="G15" s="32">
        <f>+Beef!H17</f>
        <v>18.581478180000001</v>
      </c>
      <c r="H15" s="136">
        <f>+Beef!I17</f>
        <v>-0.21808545409624325</v>
      </c>
      <c r="I15" s="32">
        <f>+Beef!J17</f>
        <v>16.144463738000002</v>
      </c>
      <c r="J15" s="136">
        <f>+Beef!K17</f>
        <v>0.15095047327362643</v>
      </c>
      <c r="K15" s="8" t="str">
        <f>+Beef!L17</f>
        <v>GTA (2023)</v>
      </c>
      <c r="L15" s="8" t="str">
        <f>+Beef!M17</f>
        <v>IHS Global Trade Atlas (GTA) (2023). Unpublished trade data accessed via subscription service. Last Accessed October 2023.</v>
      </c>
    </row>
    <row r="16" spans="1:12" x14ac:dyDescent="0.25">
      <c r="A16" s="22" t="s">
        <v>40</v>
      </c>
      <c r="B16" s="6" t="s">
        <v>45</v>
      </c>
      <c r="C16" s="32">
        <f>'Sheep Meat'!D15</f>
        <v>0.87896863000000003</v>
      </c>
      <c r="D16" s="32">
        <f>'Sheep Meat'!E15</f>
        <v>1.04898867</v>
      </c>
      <c r="E16" s="32">
        <f>'Sheep Meat'!F15</f>
        <v>3.1704763499999995</v>
      </c>
      <c r="F16" s="32">
        <f>'Sheep Meat'!G15</f>
        <v>2.5932112799999998</v>
      </c>
      <c r="G16" s="32">
        <f>'Sheep Meat'!H15</f>
        <v>2.3239632700000001</v>
      </c>
      <c r="H16" s="136">
        <f>'Sheep Meat'!I15</f>
        <v>-0.10382802669283453</v>
      </c>
      <c r="I16" s="32">
        <f>'Sheep Meat'!J15</f>
        <v>2.0031216399999998</v>
      </c>
      <c r="J16" s="136">
        <f>'Sheep Meat'!K15</f>
        <v>0.16017081718512127</v>
      </c>
      <c r="K16" s="8" t="str">
        <f>'Sheep Meat'!L15</f>
        <v>GTA (2023)</v>
      </c>
      <c r="L16" s="8" t="str">
        <f>'Sheep Meat'!M15</f>
        <v>IHS Global Trade Atlas (GTA) (2023). Unpublished trade data accessed via subscription service. Last Accessed October 2023.</v>
      </c>
    </row>
    <row r="17" spans="1:12" x14ac:dyDescent="0.25">
      <c r="A17" s="22" t="s">
        <v>214</v>
      </c>
      <c r="B17" s="6" t="s">
        <v>45</v>
      </c>
      <c r="C17" s="32">
        <f>+'Goat Meat'!D10</f>
        <v>0</v>
      </c>
      <c r="D17" s="32">
        <f>+'Goat Meat'!E10</f>
        <v>0</v>
      </c>
      <c r="E17" s="32">
        <f>+'Goat Meat'!F10</f>
        <v>0</v>
      </c>
      <c r="F17" s="32">
        <f>+'Goat Meat'!G10</f>
        <v>0</v>
      </c>
      <c r="G17" s="32">
        <f>+'Goat Meat'!H10</f>
        <v>0</v>
      </c>
      <c r="H17" s="136" t="str">
        <f>+'Goat Meat'!I10</f>
        <v>N/A</v>
      </c>
      <c r="I17" s="32">
        <f>+'Goat Meat'!J10</f>
        <v>0</v>
      </c>
      <c r="J17" s="136" t="str">
        <f>+'Goat Meat'!K10</f>
        <v>N/A</v>
      </c>
      <c r="K17" s="8" t="str">
        <f>+'Goat Meat'!L10</f>
        <v>GTA (2023)</v>
      </c>
      <c r="L17" s="8" t="str">
        <f>+'Goat Meat'!M10</f>
        <v>IHS Global Trade Atlas (GTA) (2023). Unpublished trade data accessed via subscription service. Last Accessed October 2023.</v>
      </c>
    </row>
    <row r="18" spans="1:12" x14ac:dyDescent="0.25">
      <c r="A18" s="22" t="s">
        <v>17</v>
      </c>
      <c r="B18" s="6" t="s">
        <v>45</v>
      </c>
      <c r="C18" s="32">
        <f>Pork!D11</f>
        <v>168.35336942000001</v>
      </c>
      <c r="D18" s="32">
        <f>Pork!E11</f>
        <v>230.00815528000001</v>
      </c>
      <c r="E18" s="32">
        <f>Pork!F11</f>
        <v>174.49798494999999</v>
      </c>
      <c r="F18" s="32">
        <f>Pork!G11</f>
        <v>220.01334068</v>
      </c>
      <c r="G18" s="32">
        <f>Pork!H11</f>
        <v>234.84250713999998</v>
      </c>
      <c r="H18" s="136">
        <f>Pork!I11</f>
        <v>6.7401214918000774E-2</v>
      </c>
      <c r="I18" s="32">
        <f>Pork!J11</f>
        <v>205.543071494</v>
      </c>
      <c r="J18" s="136">
        <f>Pork!K11</f>
        <v>0.14254645234711916</v>
      </c>
      <c r="K18" s="8" t="str">
        <f>Pork!L11</f>
        <v>GTA (2023)</v>
      </c>
      <c r="L18" s="8" t="str">
        <f>Pork!M11</f>
        <v>IHS Global Trade Atlas (GTA) (2023). Unpublished trade data accessed via subscription service. Last Accessed October 2023.</v>
      </c>
    </row>
    <row r="19" spans="1:12" x14ac:dyDescent="0.25">
      <c r="A19" s="22" t="s">
        <v>18</v>
      </c>
      <c r="B19" s="6" t="s">
        <v>45</v>
      </c>
      <c r="C19" s="32">
        <f>Poultry!D11</f>
        <v>3.3349244699999998</v>
      </c>
      <c r="D19" s="32">
        <f>Poultry!E11</f>
        <v>1.02451549</v>
      </c>
      <c r="E19" s="32">
        <f>Poultry!F11</f>
        <v>2.5200000000000001E-3</v>
      </c>
      <c r="F19" s="32">
        <f>Poultry!G11</f>
        <v>9.3427800000000002E-3</v>
      </c>
      <c r="G19" s="32">
        <f>Poultry!H11</f>
        <v>0.3150096</v>
      </c>
      <c r="H19" s="136">
        <f>Poultry!I11</f>
        <v>32.716902249651604</v>
      </c>
      <c r="I19" s="32">
        <f>Poultry!J11</f>
        <v>0.93726246799999979</v>
      </c>
      <c r="J19" s="136">
        <f>Poultry!K11</f>
        <v>-0.66390460436104859</v>
      </c>
      <c r="K19" s="8" t="str">
        <f>Poultry!L11</f>
        <v>GTA (2023)</v>
      </c>
      <c r="L19" s="8" t="str">
        <f>Poultry!M11</f>
        <v>IHS Global Trade Atlas (GTA) (2023). Unpublished trade data accessed via subscription service. Last Accessed October 2023.</v>
      </c>
    </row>
    <row r="20" spans="1:12" x14ac:dyDescent="0.25">
      <c r="A20" s="22" t="s">
        <v>19</v>
      </c>
      <c r="B20" s="6" t="s">
        <v>45</v>
      </c>
      <c r="C20" s="32">
        <f>Wool!D14</f>
        <v>5.603172E-2</v>
      </c>
      <c r="D20" s="32">
        <f>Wool!E14</f>
        <v>4.6595249999999998E-2</v>
      </c>
      <c r="E20" s="32">
        <f>Wool!F14</f>
        <v>3.9309169999999997E-2</v>
      </c>
      <c r="F20" s="32">
        <f>Wool!G14</f>
        <v>5.18521E-3</v>
      </c>
      <c r="G20" s="32">
        <f>Wool!H14</f>
        <v>1.7798770000000002E-2</v>
      </c>
      <c r="H20" s="136">
        <f>Wool!I14</f>
        <v>2.4326035011118163</v>
      </c>
      <c r="I20" s="32">
        <f>Wool!J14</f>
        <v>3.2984023999999994E-2</v>
      </c>
      <c r="J20" s="136">
        <f>Wool!K14</f>
        <v>-0.46038209285804532</v>
      </c>
      <c r="K20" s="8" t="str">
        <f>Wool!L14</f>
        <v>GTA (2023)</v>
      </c>
      <c r="L20" s="8" t="str">
        <f>Wool!M14</f>
        <v>IHS Global Trade Atlas (GTA) (2023). Unpublished trade data accessed via subscription service. Last Accessed October 2023.</v>
      </c>
    </row>
    <row r="21" spans="1:12" x14ac:dyDescent="0.25">
      <c r="A21" s="22" t="s">
        <v>20</v>
      </c>
      <c r="B21" s="6" t="s">
        <v>45</v>
      </c>
      <c r="C21" s="32">
        <f>Eggs!D13</f>
        <v>6.8362008000000012</v>
      </c>
      <c r="D21" s="32">
        <f>Eggs!E13</f>
        <v>11.276736570000001</v>
      </c>
      <c r="E21" s="32">
        <f>Eggs!F13</f>
        <v>7.0963791400000007</v>
      </c>
      <c r="F21" s="32">
        <f>Eggs!G13</f>
        <v>9.4969367699999996</v>
      </c>
      <c r="G21" s="32">
        <f>Eggs!H13</f>
        <v>22.546723990000004</v>
      </c>
      <c r="H21" s="136">
        <f>Eggs!I13</f>
        <v>1.3741048862432308</v>
      </c>
      <c r="I21" s="32">
        <f>Eggs!J13</f>
        <v>11.450595454</v>
      </c>
      <c r="J21" s="136">
        <f>Eggs!K13</f>
        <v>0.96904380043605753</v>
      </c>
      <c r="K21" s="8" t="str">
        <f>Eggs!L13</f>
        <v>GTA (2023)</v>
      </c>
      <c r="L21" s="8" t="str">
        <f>Eggs!M13</f>
        <v>IHS Global Trade Atlas (GTA) (2023). Unpublished trade data accessed via subscription service. Last Accessed October 2023.</v>
      </c>
    </row>
    <row r="22" spans="1:12" x14ac:dyDescent="0.25">
      <c r="A22" s="22" t="s">
        <v>21</v>
      </c>
      <c r="B22" s="6" t="s">
        <v>45</v>
      </c>
      <c r="C22" s="32">
        <f>Milk!D14</f>
        <v>1.33954839</v>
      </c>
      <c r="D22" s="32">
        <f>Milk!E14</f>
        <v>1.2584556400000002</v>
      </c>
      <c r="E22" s="32">
        <f>Milk!F14</f>
        <v>1.0594188999999998</v>
      </c>
      <c r="F22" s="32">
        <f>Milk!G14</f>
        <v>0.74182711000000001</v>
      </c>
      <c r="G22" s="32">
        <f>Milk!H14</f>
        <v>1.9716918600000002</v>
      </c>
      <c r="H22" s="136">
        <f>Milk!I14</f>
        <v>1.6578859594387163</v>
      </c>
      <c r="I22" s="32">
        <f>Milk!J14</f>
        <v>1.27418838</v>
      </c>
      <c r="J22" s="136">
        <f>Milk!K14</f>
        <v>0.54741001483626794</v>
      </c>
      <c r="K22" s="8" t="str">
        <f>Milk!L14</f>
        <v>GTA (2023)</v>
      </c>
      <c r="L22" s="8" t="str">
        <f>Milk!M14</f>
        <v>IHS Global Trade Atlas (GTA) (2023). Unpublished trade data accessed via subscription service. Last Accessed October 2023.</v>
      </c>
    </row>
    <row r="23" spans="1:12" x14ac:dyDescent="0.25">
      <c r="A23" s="9" t="s">
        <v>200</v>
      </c>
      <c r="B23" s="9" t="s">
        <v>45</v>
      </c>
      <c r="C23" s="33">
        <f t="shared" ref="C23:G23" si="3">SUM(C24,C25)</f>
        <v>1005.8705648700001</v>
      </c>
      <c r="D23" s="33">
        <f t="shared" si="3"/>
        <v>926.56160199999999</v>
      </c>
      <c r="E23" s="33">
        <f t="shared" si="3"/>
        <v>930.77361003999999</v>
      </c>
      <c r="F23" s="33">
        <f t="shared" si="3"/>
        <v>1090.70224248</v>
      </c>
      <c r="G23" s="33">
        <f t="shared" si="3"/>
        <v>1184.8812110399999</v>
      </c>
      <c r="H23" s="135">
        <f>IF(ISBLANK(G23),"N/A",IF(ISNA(G23/F23-1),"N/A",IF(ISERROR(G23/F23-1),"N/A",G23/F23-1)))</f>
        <v>8.6347093543934772E-2</v>
      </c>
      <c r="I23" s="31">
        <f>IF(ISBLANK(G23),"",IF(ISNA(AVERAGE(C23:G23)),"N/A",IF(ISERROR(AVERAGE(C23:G23)),"N/A",AVERAGE(C23:G23))))</f>
        <v>1027.757846086</v>
      </c>
      <c r="J23" s="135">
        <f>IF(ISBLANK(G23),"",IF(ISNA(G23/AVERAGE(C23:G23)-1),"N/A",IF(ISERROR(G23/AVERAGE(C23:G23)-1),"N/A",G23/AVERAGE(C23:G23)-1)))</f>
        <v>0.15287975231945095</v>
      </c>
      <c r="K23" s="25"/>
      <c r="L23" s="25"/>
    </row>
    <row r="24" spans="1:12" x14ac:dyDescent="0.25">
      <c r="A24" s="22" t="s">
        <v>22</v>
      </c>
      <c r="B24" s="6" t="s">
        <v>45</v>
      </c>
      <c r="C24" s="32">
        <f>Forestry!D16</f>
        <v>135.98905991000001</v>
      </c>
      <c r="D24" s="32">
        <f>Forestry!E16</f>
        <v>99.599217780000004</v>
      </c>
      <c r="E24" s="32">
        <f>Forestry!F16</f>
        <v>114.95793574999999</v>
      </c>
      <c r="F24" s="32">
        <f>Forestry!G16</f>
        <v>233.99472201</v>
      </c>
      <c r="G24" s="32">
        <f>Forestry!H16</f>
        <v>177.08880598000002</v>
      </c>
      <c r="H24" s="136">
        <f>Forestry!I16</f>
        <v>-0.24319316068833408</v>
      </c>
      <c r="I24" s="32">
        <f>Forestry!J16</f>
        <v>152.325948286</v>
      </c>
      <c r="J24" s="136">
        <f>Forestry!K16</f>
        <v>0.16256493376628423</v>
      </c>
      <c r="K24" s="8" t="str">
        <f>Forestry!L16</f>
        <v>GTA (2023)</v>
      </c>
      <c r="L24" s="8" t="str">
        <f>Forestry!M16</f>
        <v>IHS Global Trade Atlas (GTA) (2023). Unpublished trade data accessed via subscription service. Last Accessed October 2023.</v>
      </c>
    </row>
    <row r="25" spans="1:12" x14ac:dyDescent="0.25">
      <c r="A25" s="22" t="s">
        <v>23</v>
      </c>
      <c r="B25" s="6" t="s">
        <v>45</v>
      </c>
      <c r="C25" s="32">
        <f>Fisheries!D14</f>
        <v>869.88150496000003</v>
      </c>
      <c r="D25" s="32">
        <f>Fisheries!E14</f>
        <v>826.96238421999999</v>
      </c>
      <c r="E25" s="32">
        <f>Fisheries!F14</f>
        <v>815.81567429000006</v>
      </c>
      <c r="F25" s="32">
        <f>Fisheries!G14</f>
        <v>856.70752047000008</v>
      </c>
      <c r="G25" s="32">
        <f>Fisheries!H14</f>
        <v>1007.79240506</v>
      </c>
      <c r="H25" s="136">
        <f>Fisheries!I14</f>
        <v>0.17635526825667758</v>
      </c>
      <c r="I25" s="32">
        <f>Fisheries!J14</f>
        <v>875.43189779999989</v>
      </c>
      <c r="J25" s="136">
        <f>Fisheries!K14</f>
        <v>0.1511945219184132</v>
      </c>
      <c r="K25" s="8" t="str">
        <f>Fisheries!L14</f>
        <v>GTA (2023)</v>
      </c>
      <c r="L25" s="8" t="str">
        <f>Fisheries!M14</f>
        <v>IHS Global Trade Atlas (GTA) (2023). Unpublished trade data accessed via subscription service. Last Accessed October 2023.</v>
      </c>
    </row>
    <row r="26" spans="1:12" x14ac:dyDescent="0.25">
      <c r="A26" s="9" t="s">
        <v>267</v>
      </c>
      <c r="B26" s="9" t="s">
        <v>45</v>
      </c>
      <c r="C26" s="33">
        <f>+C27-SUM(C2,C11,C14,C23)</f>
        <v>183.76709734999986</v>
      </c>
      <c r="D26" s="33">
        <f>+D27-SUM(D2,D11,D14,D23)</f>
        <v>165.56877609000003</v>
      </c>
      <c r="E26" s="33">
        <f>+E27-SUM(E2,E11,E14,E23)</f>
        <v>173.63159040999972</v>
      </c>
      <c r="F26" s="33">
        <f>+F27-SUM(F2,F11,F14,F23)</f>
        <v>199.08384580999973</v>
      </c>
      <c r="G26" s="33">
        <f>+G27-SUM(G2,G11,G14,G23)</f>
        <v>222.23535562999996</v>
      </c>
      <c r="H26" s="135">
        <f t="shared" ref="H26:H27" si="4">IF(ISBLANK(G26),"N/A",IF(ISNA(G26/F26-1),"N/A",IF(ISERROR(G26/F26-1),"N/A",G26/F26-1)))</f>
        <v>0.11629024809022126</v>
      </c>
      <c r="I26" s="31">
        <f t="shared" ref="I26:I27" si="5">IF(ISBLANK(G26),"",IF(ISNA(AVERAGE(C26:G26)),"N/A",IF(ISERROR(AVERAGE(C26:G26)),"N/A",AVERAGE(C26:G26))))</f>
        <v>188.85733305799985</v>
      </c>
      <c r="J26" s="135">
        <f t="shared" ref="J26:J27" si="6">IF(ISBLANK(G26),"",IF(ISNA(G26/AVERAGE(C26:G26)-1),"N/A",IF(ISERROR(G26/AVERAGE(C26:G26)-1),"N/A",G26/AVERAGE(C26:G26)-1)))</f>
        <v>0.17673670400581898</v>
      </c>
      <c r="K26" s="25"/>
      <c r="L26" s="25"/>
    </row>
    <row r="27" spans="1:12" x14ac:dyDescent="0.25">
      <c r="A27" s="15" t="s">
        <v>201</v>
      </c>
      <c r="B27" s="9" t="s">
        <v>45</v>
      </c>
      <c r="C27" s="33">
        <v>2661.5184469800001</v>
      </c>
      <c r="D27" s="33">
        <v>2966.7022042899998</v>
      </c>
      <c r="E27" s="33">
        <v>2843.9373776999996</v>
      </c>
      <c r="F27" s="33">
        <v>2920.3636299299997</v>
      </c>
      <c r="G27" s="33">
        <v>3238.5843524400002</v>
      </c>
      <c r="H27" s="135">
        <f t="shared" si="4"/>
        <v>0.10896612985062704</v>
      </c>
      <c r="I27" s="31">
        <f t="shared" si="5"/>
        <v>2926.2212022680001</v>
      </c>
      <c r="J27" s="135">
        <f t="shared" si="6"/>
        <v>0.10674625347184952</v>
      </c>
      <c r="K27" s="11"/>
      <c r="L27" s="11"/>
    </row>
    <row r="28" spans="1:12" x14ac:dyDescent="0.25">
      <c r="A28" s="26" t="s">
        <v>43</v>
      </c>
      <c r="B28" s="27"/>
      <c r="C28" s="27"/>
      <c r="D28" s="27"/>
      <c r="E28" s="27"/>
      <c r="F28" s="27"/>
      <c r="G28" s="27"/>
      <c r="H28" s="28"/>
      <c r="I28" s="28"/>
      <c r="J28" s="28"/>
      <c r="K28" s="13"/>
      <c r="L28" s="13"/>
    </row>
    <row r="29" spans="1:12" x14ac:dyDescent="0.25">
      <c r="A29" s="13" t="s">
        <v>268</v>
      </c>
      <c r="B29" s="13"/>
      <c r="C29" s="13"/>
      <c r="D29" s="13"/>
      <c r="E29" s="13"/>
      <c r="F29" s="13"/>
      <c r="G29" s="13"/>
      <c r="H29" s="29"/>
      <c r="I29" s="29"/>
      <c r="J29" s="29"/>
      <c r="K29" s="13"/>
      <c r="L29" s="13"/>
    </row>
    <row r="30" spans="1:12" x14ac:dyDescent="0.25">
      <c r="A30" s="13" t="s">
        <v>269</v>
      </c>
      <c r="B30" s="13"/>
      <c r="C30" s="13"/>
      <c r="D30" s="13"/>
      <c r="E30" s="13"/>
      <c r="F30" s="13"/>
      <c r="G30" s="13"/>
      <c r="H30" s="29"/>
      <c r="I30" s="29"/>
      <c r="J30" s="29"/>
      <c r="K30" s="13"/>
      <c r="L30" s="13"/>
    </row>
    <row r="31" spans="1:12" x14ac:dyDescent="0.25">
      <c r="A31" s="13" t="s">
        <v>270</v>
      </c>
      <c r="B31" s="13"/>
      <c r="C31" s="13"/>
      <c r="D31" s="13"/>
      <c r="E31" s="13"/>
      <c r="F31" s="13"/>
      <c r="G31" s="13"/>
      <c r="H31" s="29"/>
      <c r="I31" s="29"/>
      <c r="J31" s="29"/>
      <c r="K31" s="13"/>
      <c r="L31" s="13"/>
    </row>
    <row r="32" spans="1:12" x14ac:dyDescent="0.25">
      <c r="A32" s="13" t="s">
        <v>271</v>
      </c>
      <c r="B32" s="13"/>
      <c r="C32" s="13"/>
      <c r="D32" s="13"/>
      <c r="E32" s="13"/>
      <c r="F32" s="13"/>
      <c r="G32" s="13"/>
      <c r="H32" s="29"/>
      <c r="I32" s="29"/>
      <c r="J32" s="29"/>
      <c r="K32" s="13"/>
      <c r="L32" s="13"/>
    </row>
    <row r="33" spans="1:12" x14ac:dyDescent="0.25">
      <c r="A33" s="27"/>
      <c r="B33" s="27"/>
      <c r="C33" s="27"/>
      <c r="D33" s="27"/>
      <c r="E33" s="27"/>
      <c r="F33" s="27"/>
      <c r="G33" s="27"/>
      <c r="H33" s="28"/>
      <c r="I33" s="28"/>
      <c r="J33" s="28"/>
      <c r="K33" s="13"/>
      <c r="L33" s="13"/>
    </row>
    <row r="34" spans="1:12" ht="48.75" x14ac:dyDescent="0.25">
      <c r="A34" s="5" t="s">
        <v>202</v>
      </c>
      <c r="B34" s="5" t="s">
        <v>44</v>
      </c>
      <c r="C34" s="5" t="str">
        <f>+'Gross Value of Production'!C1</f>
        <v>2018-19</v>
      </c>
      <c r="D34" s="5" t="str">
        <f>+'Gross Value of Production'!D1</f>
        <v>2019-20</v>
      </c>
      <c r="E34" s="5" t="str">
        <f>+'Gross Value of Production'!E1</f>
        <v>2020-21</v>
      </c>
      <c r="F34" s="5" t="str">
        <f>+'Gross Value of Production'!F1</f>
        <v>2021-22s</v>
      </c>
      <c r="G34" s="5" t="str">
        <f>+'Gross Value of Production'!G1</f>
        <v>2022-23e</v>
      </c>
      <c r="H34" s="19" t="s">
        <v>47</v>
      </c>
      <c r="I34" s="19" t="s">
        <v>48</v>
      </c>
      <c r="J34" s="19" t="s">
        <v>49</v>
      </c>
      <c r="K34" s="9"/>
      <c r="L34" s="9"/>
    </row>
    <row r="35" spans="1:12" x14ac:dyDescent="0.25">
      <c r="A35" s="9" t="s">
        <v>31</v>
      </c>
      <c r="B35" s="9" t="s">
        <v>45</v>
      </c>
      <c r="C35" s="137">
        <f t="shared" ref="C35:G35" si="7">SUM(C36,C37,C38,C39,C40,C41,C42,C43)</f>
        <v>17.061834320000003</v>
      </c>
      <c r="D35" s="137">
        <f t="shared" si="7"/>
        <v>1608.1916267599997</v>
      </c>
      <c r="E35" s="137">
        <f t="shared" si="7"/>
        <v>4324.5232730100006</v>
      </c>
      <c r="F35" s="137">
        <f t="shared" si="7"/>
        <v>9464.4154801900004</v>
      </c>
      <c r="G35" s="137">
        <f t="shared" si="7"/>
        <v>12965.262497510001</v>
      </c>
      <c r="H35" s="138">
        <f>IF(ISBLANK(G35),"N/A",IF(ISNA(G35/F35-1),"N/A",IF(ISERROR(G35/F35-1),"N/A",G35/F35-1)))</f>
        <v>0.36989574524149282</v>
      </c>
      <c r="I35" s="138">
        <f>IF(ISBLANK(G35),"",IF(ISNA(AVERAGE(C35:G35)),"N/A",IF(ISERROR(AVERAGE(C35:G35)),"N/A",AVERAGE(C35:G35))))</f>
        <v>5675.8909423579998</v>
      </c>
      <c r="J35" s="138">
        <f>IF(ISBLANK(G35),"",IF(ISNA(G35/AVERAGE(C35:G35)-1),"N/A",IF(ISERROR(G35/AVERAGE(C35:G35)-1),"N/A",G35/AVERAGE(C35:G35)-1)))</f>
        <v>1.2842691357497604</v>
      </c>
      <c r="K35" s="11"/>
      <c r="L35" s="11"/>
    </row>
    <row r="36" spans="1:12" x14ac:dyDescent="0.25">
      <c r="A36" s="22" t="s">
        <v>7</v>
      </c>
      <c r="B36" s="6" t="s">
        <v>45</v>
      </c>
      <c r="C36" s="139">
        <f>Wheat!D13</f>
        <v>51.438067710000006</v>
      </c>
      <c r="D36" s="139">
        <f>Wheat!E13</f>
        <v>-162.97831215999997</v>
      </c>
      <c r="E36" s="139">
        <f>Wheat!F13</f>
        <v>1341.55225359</v>
      </c>
      <c r="F36" s="139">
        <f>Wheat!G13</f>
        <v>2921.4484412900001</v>
      </c>
      <c r="G36" s="139">
        <f>Wheat!H13</f>
        <v>3292.6468213499998</v>
      </c>
      <c r="H36" s="139">
        <f>Wheat!I13</f>
        <v>0.12705970600531713</v>
      </c>
      <c r="I36" s="139">
        <f>Wheat!J13</f>
        <v>1488.821454356</v>
      </c>
      <c r="J36" s="139">
        <f>Wheat!K13</f>
        <v>1.2115793748917039</v>
      </c>
      <c r="K36" s="8" t="str">
        <f>Wheat!L13</f>
        <v>GTA (2023)</v>
      </c>
      <c r="L36" s="8" t="str">
        <f>Wheat!M13</f>
        <v>IHS Global Trade Atlas (GTA) (2023). Unpublished trade data accessed via subscription service. Last Accessed October 2023.</v>
      </c>
    </row>
    <row r="37" spans="1:12" x14ac:dyDescent="0.25">
      <c r="A37" s="22" t="s">
        <v>263</v>
      </c>
      <c r="B37" s="6" t="s">
        <v>45</v>
      </c>
      <c r="C37" s="139">
        <f>Barley!D13</f>
        <v>7.8837750000000012E-2</v>
      </c>
      <c r="D37" s="139">
        <f>Barley!E19</f>
        <v>1027.4019380699999</v>
      </c>
      <c r="E37" s="139">
        <f>Barley!F19</f>
        <v>1909.8120179100001</v>
      </c>
      <c r="F37" s="139">
        <f>Barley!G19</f>
        <v>2976.65202039</v>
      </c>
      <c r="G37" s="139">
        <f>Barley!H19</f>
        <v>3331.6119359899999</v>
      </c>
      <c r="H37" s="139">
        <f>Barley!I19</f>
        <v>0.11924803879275525</v>
      </c>
      <c r="I37" s="139">
        <f>Barley!J19</f>
        <v>2125.4194889820001</v>
      </c>
      <c r="J37" s="139">
        <f>Barley!K19</f>
        <v>0.56750794526012505</v>
      </c>
      <c r="K37" s="8" t="str">
        <f>Barley!L19</f>
        <v>GTA (2023)</v>
      </c>
      <c r="L37" s="8" t="str">
        <f>Barley!M19</f>
        <v>IHS Global Trade Atlas (GTA) (2023). Unpublished trade data accessed via subscription service. Last Accessed October 2023.</v>
      </c>
    </row>
    <row r="38" spans="1:12" x14ac:dyDescent="0.25">
      <c r="A38" s="22" t="s">
        <v>9</v>
      </c>
      <c r="B38" s="6" t="s">
        <v>45</v>
      </c>
      <c r="C38" s="139">
        <f>Rice!D12</f>
        <v>-81.24863225</v>
      </c>
      <c r="D38" s="139">
        <f>Rice!E18</f>
        <v>-243.84769534000003</v>
      </c>
      <c r="E38" s="139">
        <f>Rice!F18</f>
        <v>-259.72298932999996</v>
      </c>
      <c r="F38" s="139">
        <f>Rice!G18</f>
        <v>-57.037491370000026</v>
      </c>
      <c r="G38" s="139">
        <f>Rice!H18</f>
        <v>82.348920640000017</v>
      </c>
      <c r="H38" s="139">
        <f>Rice!I18</f>
        <v>-2.4437682770058329</v>
      </c>
      <c r="I38" s="139">
        <f>Rice!J18</f>
        <v>-92.412052888000005</v>
      </c>
      <c r="J38" s="139">
        <f>Rice!K18</f>
        <v>-1.8911058467644244</v>
      </c>
      <c r="K38" s="8" t="str">
        <f>Rice!L18</f>
        <v>GTA (2023)</v>
      </c>
      <c r="L38" s="8" t="str">
        <f>Rice!M18</f>
        <v>IHS Global Trade Atlas (GTA) (2023). Unpublished trade data accessed via subscription service. Last Accessed October 2023.</v>
      </c>
    </row>
    <row r="39" spans="1:12" x14ac:dyDescent="0.25">
      <c r="A39" s="22" t="s">
        <v>32</v>
      </c>
      <c r="B39" s="6" t="s">
        <v>45</v>
      </c>
      <c r="C39" s="139">
        <f>'Coarse Grains'!D13</f>
        <v>5.5922729999999996</v>
      </c>
      <c r="D39" s="139">
        <f>'Coarse Grains'!E13</f>
        <v>1.2930410000000001</v>
      </c>
      <c r="E39" s="139">
        <f>'Coarse Grains'!F13</f>
        <v>68.766856000000004</v>
      </c>
      <c r="F39" s="139">
        <f>'Coarse Grains'!G13</f>
        <v>230.96866209000001</v>
      </c>
      <c r="G39" s="139">
        <f>'Coarse Grains'!H13</f>
        <v>408.91683031999997</v>
      </c>
      <c r="H39" s="139">
        <f>'Coarse Grains'!I13</f>
        <v>0.77044291039214707</v>
      </c>
      <c r="I39" s="139">
        <f>'Coarse Grains'!J13</f>
        <v>143.10753248199998</v>
      </c>
      <c r="J39" s="139">
        <f>'Coarse Grains'!K13</f>
        <v>1.8574095522989569</v>
      </c>
      <c r="K39" s="8" t="str">
        <f>'Coarse Grains'!L13</f>
        <v>GTA (2023)</v>
      </c>
      <c r="L39" s="8" t="str">
        <f>'Coarse Grains'!M13</f>
        <v>IHS Global Trade Atlas (GTA) (2023). Unpublished trade data accessed via subscription service. Last Accessed October 2023.</v>
      </c>
    </row>
    <row r="40" spans="1:12" x14ac:dyDescent="0.25">
      <c r="A40" s="22" t="s">
        <v>10</v>
      </c>
      <c r="B40" s="6" t="s">
        <v>45</v>
      </c>
      <c r="C40" s="139">
        <f>Pulses!D13</f>
        <v>43.410115900000001</v>
      </c>
      <c r="D40" s="139">
        <f>Pulses!E13</f>
        <v>37.111919010000001</v>
      </c>
      <c r="E40" s="139">
        <f>Pulses!F13</f>
        <v>199.57834002999999</v>
      </c>
      <c r="F40" s="139">
        <f>Pulses!G13</f>
        <v>174.56979317999998</v>
      </c>
      <c r="G40" s="139">
        <f>Pulses!H13</f>
        <v>125.0121218</v>
      </c>
      <c r="H40" s="139">
        <f>Pulses!I13</f>
        <v>-0.28388457405629597</v>
      </c>
      <c r="I40" s="139">
        <f>Pulses!J13</f>
        <v>115.936457984</v>
      </c>
      <c r="J40" s="139">
        <f>Pulses!K13</f>
        <v>7.8281361823668183E-2</v>
      </c>
      <c r="K40" s="8" t="str">
        <f>Pulses!L13</f>
        <v>GTA (2023)</v>
      </c>
      <c r="L40" s="8" t="str">
        <f>Pulses!M13</f>
        <v>IHS Global Trade Atlas (GTA) (2023). Unpublished trade data accessed via subscription service. Last Accessed October 2023.</v>
      </c>
    </row>
    <row r="41" spans="1:12" x14ac:dyDescent="0.25">
      <c r="A41" s="22" t="s">
        <v>11</v>
      </c>
      <c r="B41" s="6" t="s">
        <v>45</v>
      </c>
      <c r="C41" s="139">
        <f>Oilseeds!D14</f>
        <v>-0.38667162000000133</v>
      </c>
      <c r="D41" s="139">
        <f>Oilseeds!E14</f>
        <v>-12.610896980000001</v>
      </c>
      <c r="E41" s="139">
        <f>Oilseeds!F14</f>
        <v>437.07406082</v>
      </c>
      <c r="F41" s="139">
        <f>Oilseeds!G14</f>
        <v>989.19961818000002</v>
      </c>
      <c r="G41" s="139">
        <f>Oilseeds!H14</f>
        <v>842.72573549000003</v>
      </c>
      <c r="H41" s="139">
        <f>Oilseeds!I14</f>
        <v>-0.14807312902070568</v>
      </c>
      <c r="I41" s="139">
        <f>Oilseeds!J14</f>
        <v>451.20036917800007</v>
      </c>
      <c r="J41" s="139">
        <f>Oilseeds!K14</f>
        <v>0.86774167987779705</v>
      </c>
      <c r="K41" s="8" t="str">
        <f>Oilseeds!L14</f>
        <v>GTA (2023)</v>
      </c>
      <c r="L41" s="8" t="str">
        <f>Oilseeds!M14</f>
        <v>IHS Global Trade Atlas (GTA) (2023). Unpublished trade data accessed via subscription service. Last Accessed October 2023.</v>
      </c>
    </row>
    <row r="42" spans="1:12" x14ac:dyDescent="0.25">
      <c r="A42" s="22" t="s">
        <v>264</v>
      </c>
      <c r="B42" s="6" t="s">
        <v>45</v>
      </c>
      <c r="C42" s="139">
        <f>'Cotton Lint'!D13</f>
        <v>6.6525229999999991E-2</v>
      </c>
      <c r="D42" s="139">
        <f>'Cotton Lint'!E19</f>
        <v>963.34527222999998</v>
      </c>
      <c r="E42" s="139">
        <f>'Cotton Lint'!F19</f>
        <v>629.07150621999995</v>
      </c>
      <c r="F42" s="139">
        <f>'Cotton Lint'!G19</f>
        <v>2229.0890959100002</v>
      </c>
      <c r="G42" s="139">
        <f>'Cotton Lint'!H19</f>
        <v>4882.7541542100007</v>
      </c>
      <c r="H42" s="139">
        <f>'Cotton Lint'!I19</f>
        <v>1.1904706111429215</v>
      </c>
      <c r="I42" s="139">
        <f>'Cotton Lint'!J19</f>
        <v>2251.9334335920003</v>
      </c>
      <c r="J42" s="139">
        <f>'Cotton Lint'!K19</f>
        <v>1.168249772117663</v>
      </c>
      <c r="K42" s="8" t="str">
        <f>'Cotton Lint'!L19</f>
        <v>GTA (2023)</v>
      </c>
      <c r="L42" s="8" t="str">
        <f>'Cotton Lint'!M19</f>
        <v>IHS Global Trade Atlas (GTA) (2023). Unpublished trade data accessed via subscription service. Last Accessed October 2023.</v>
      </c>
    </row>
    <row r="43" spans="1:12" x14ac:dyDescent="0.25">
      <c r="A43" s="22" t="s">
        <v>13</v>
      </c>
      <c r="B43" s="6" t="s">
        <v>45</v>
      </c>
      <c r="C43" s="139">
        <f>Sugarcane!D14</f>
        <v>-1.8886814000000003</v>
      </c>
      <c r="D43" s="139">
        <f>Sugarcane!E14</f>
        <v>-1.5236390700000002</v>
      </c>
      <c r="E43" s="139">
        <f>Sugarcane!F14</f>
        <v>-1.6087722300000002</v>
      </c>
      <c r="F43" s="139">
        <f>Sugarcane!G14</f>
        <v>-0.47465948000000013</v>
      </c>
      <c r="G43" s="139">
        <f>Sugarcane!H14</f>
        <v>-0.75402228999999998</v>
      </c>
      <c r="H43" s="139">
        <f>Sugarcane!I14</f>
        <v>0.58855415676096845</v>
      </c>
      <c r="I43" s="139">
        <f>Sugarcane!J14</f>
        <v>-1.249954894</v>
      </c>
      <c r="J43" s="139">
        <f>Sugarcane!K14</f>
        <v>-0.39676040021968983</v>
      </c>
      <c r="K43" s="8" t="str">
        <f>Sugarcane!L14</f>
        <v>GTA (2023)</v>
      </c>
      <c r="L43" s="8" t="str">
        <f>Sugarcane!M14</f>
        <v>IHS Global Trade Atlas (GTA) (2023). Unpublished trade data accessed via subscription service. Last Accessed October 2023.</v>
      </c>
    </row>
    <row r="44" spans="1:12" x14ac:dyDescent="0.25">
      <c r="A44" s="9" t="s">
        <v>265</v>
      </c>
      <c r="B44" s="9" t="s">
        <v>45</v>
      </c>
      <c r="C44" s="140">
        <f t="shared" ref="C44:G44" si="8">SUM(C45)</f>
        <v>-651.8951315999999</v>
      </c>
      <c r="D44" s="140">
        <f t="shared" si="8"/>
        <v>-765.88418679000006</v>
      </c>
      <c r="E44" s="140">
        <f t="shared" si="8"/>
        <v>-1024.8350677199999</v>
      </c>
      <c r="F44" s="140">
        <f t="shared" si="8"/>
        <v>-933.64368297000033</v>
      </c>
      <c r="G44" s="140">
        <f t="shared" si="8"/>
        <v>-1097.8643426100002</v>
      </c>
      <c r="H44" s="138">
        <f>IF(ISBLANK(G44),"N/A",IF(ISNA(G44/F44-1),"N/A",IF(ISERROR(G44/F44-1),"N/A",G44/F44-1)))</f>
        <v>0.17589221952169165</v>
      </c>
      <c r="I44" s="138">
        <f>IF(ISBLANK(G44),"",IF(ISNA(AVERAGE(C44:G44)),"N/A",IF(ISERROR(AVERAGE(C44:G44)),"N/A",AVERAGE(C44:G44))))</f>
        <v>-894.82448233800028</v>
      </c>
      <c r="J44" s="138">
        <f>IF(ISBLANK(G44),"",IF(ISNA(G44/AVERAGE(C44:G44)-1),"N/A",IF(ISERROR(G44/AVERAGE(C44:G44)-1),"N/A",G44/AVERAGE(C44:G44)-1)))</f>
        <v>0.22690467715131879</v>
      </c>
      <c r="K44" s="25"/>
      <c r="L44" s="25"/>
    </row>
    <row r="45" spans="1:12" x14ac:dyDescent="0.25">
      <c r="A45" s="22" t="s">
        <v>14</v>
      </c>
      <c r="B45" s="6" t="s">
        <v>45</v>
      </c>
      <c r="C45" s="139">
        <f>Horticulture!D20</f>
        <v>-651.8951315999999</v>
      </c>
      <c r="D45" s="139">
        <f>Horticulture!E20</f>
        <v>-765.88418679000006</v>
      </c>
      <c r="E45" s="139">
        <f>Horticulture!F20</f>
        <v>-1024.8350677199999</v>
      </c>
      <c r="F45" s="139">
        <f>Horticulture!G20</f>
        <v>-933.64368297000033</v>
      </c>
      <c r="G45" s="139">
        <f>Horticulture!H20</f>
        <v>-1097.8643426100002</v>
      </c>
      <c r="H45" s="139">
        <f>Horticulture!I20</f>
        <v>0.17589221952169165</v>
      </c>
      <c r="I45" s="139">
        <f>Horticulture!J20</f>
        <v>-894.82448233800028</v>
      </c>
      <c r="J45" s="139">
        <f>Horticulture!K20</f>
        <v>0.22690467715131879</v>
      </c>
      <c r="K45" s="8" t="str">
        <f>Horticulture!L20</f>
        <v>GTA (2023)</v>
      </c>
      <c r="L45" s="8" t="str">
        <f>Horticulture!M20</f>
        <v>IHS Global Trade Atlas (GTA) (2023). Unpublished trade data accessed via subscription service. Last Accessed October 2023.</v>
      </c>
    </row>
    <row r="46" spans="1:12" x14ac:dyDescent="0.25">
      <c r="A46" s="22" t="s">
        <v>266</v>
      </c>
      <c r="B46" s="6" t="s">
        <v>45</v>
      </c>
      <c r="C46" s="139">
        <f>Wine!D13</f>
        <v>274.29519434000002</v>
      </c>
      <c r="D46" s="139">
        <f>Wine!E13</f>
        <v>291.19914445999996</v>
      </c>
      <c r="E46" s="139">
        <f>Wine!F13</f>
        <v>277.91713810000005</v>
      </c>
      <c r="F46" s="139">
        <f>Wine!G13</f>
        <v>171.70004953</v>
      </c>
      <c r="G46" s="139">
        <f>Wine!H13</f>
        <v>98.92370090999998</v>
      </c>
      <c r="H46" s="139">
        <f>Wine!I13</f>
        <v>-0.42385747015922848</v>
      </c>
      <c r="I46" s="139">
        <f>Wine!J13</f>
        <v>222.80704546799998</v>
      </c>
      <c r="J46" s="139">
        <f>Wine!K13</f>
        <v>-0.55601179171774617</v>
      </c>
      <c r="K46" s="8" t="str">
        <f>Wine!L13</f>
        <v>GTA (2023)</v>
      </c>
      <c r="L46" s="8" t="str">
        <f>Wine!M13</f>
        <v>IHS Global Trade Atlas (GTA) (2023). Unpublished trade data accessed via subscription service. Last Accessed October 2023.</v>
      </c>
    </row>
    <row r="47" spans="1:12" x14ac:dyDescent="0.25">
      <c r="A47" s="15" t="s">
        <v>38</v>
      </c>
      <c r="B47" s="9" t="s">
        <v>45</v>
      </c>
      <c r="C47" s="140">
        <f t="shared" ref="C47:G47" si="9">SUM(C48,C49,C51,C52,C53,C54,C55)</f>
        <v>3427.9898885200005</v>
      </c>
      <c r="D47" s="140">
        <f t="shared" si="9"/>
        <v>3546.19093269</v>
      </c>
      <c r="E47" s="140">
        <f t="shared" si="9"/>
        <v>2931.5428483400001</v>
      </c>
      <c r="F47" s="140">
        <f t="shared" si="9"/>
        <v>3784.1644012699994</v>
      </c>
      <c r="G47" s="140">
        <f t="shared" si="9"/>
        <v>3754.4071771900003</v>
      </c>
      <c r="H47" s="138">
        <f>IF(ISBLANK(G47),"N/A",IF(ISNA(G47/F47-1),"N/A",IF(ISERROR(G47/F47-1),"N/A",G47/F47-1)))</f>
        <v>-7.8636182059141913E-3</v>
      </c>
      <c r="I47" s="138">
        <f>IF(ISBLANK(G47),"",IF(ISNA(AVERAGE(C47:G47)),"N/A",IF(ISERROR(AVERAGE(C47:G47)),"N/A",AVERAGE(C47:G47))))</f>
        <v>3488.8590496019997</v>
      </c>
      <c r="J47" s="138">
        <f>IF(ISBLANK(G47),"",IF(ISNA(G47/AVERAGE(C47:G47)-1),"N/A",IF(ISERROR(G47/AVERAGE(C47:G47)-1),"N/A",G47/AVERAGE(C47:G47)-1)))</f>
        <v>7.6113171616461139E-2</v>
      </c>
      <c r="K47" s="25"/>
      <c r="L47" s="25"/>
    </row>
    <row r="48" spans="1:12" x14ac:dyDescent="0.25">
      <c r="A48" s="22" t="s">
        <v>39</v>
      </c>
      <c r="B48" s="6" t="s">
        <v>45</v>
      </c>
      <c r="C48" s="139">
        <f>Beef!D18</f>
        <v>1796.3724909499999</v>
      </c>
      <c r="D48" s="139">
        <f>Beef!E18</f>
        <v>2095.7043135899999</v>
      </c>
      <c r="E48" s="139">
        <f>Beef!F18</f>
        <v>1527.2759038499998</v>
      </c>
      <c r="F48" s="139">
        <f>Beef!G18</f>
        <v>1905.1743850999999</v>
      </c>
      <c r="G48" s="139">
        <f>Beef!H18</f>
        <v>1872.2071458200001</v>
      </c>
      <c r="H48" s="139">
        <f>Beef!I18</f>
        <v>-1.7304053391558383E-2</v>
      </c>
      <c r="I48" s="139">
        <f>Beef!J18</f>
        <v>1839.3468478620002</v>
      </c>
      <c r="J48" s="139">
        <f>Beef!K18</f>
        <v>1.7865199266900333E-2</v>
      </c>
      <c r="K48" s="8" t="str">
        <f>Beef!L18</f>
        <v>GTA (2023)</v>
      </c>
      <c r="L48" s="8" t="str">
        <f>Beef!M18</f>
        <v>IHS Global Trade Atlas (GTA) (2023). Unpublished trade data accessed via subscription service. Last Accessed October 2023.</v>
      </c>
    </row>
    <row r="49" spans="1:12" x14ac:dyDescent="0.25">
      <c r="A49" s="22" t="s">
        <v>40</v>
      </c>
      <c r="B49" s="6" t="s">
        <v>45</v>
      </c>
      <c r="C49" s="139">
        <f>'Sheep Meat'!D16</f>
        <v>926.17331936999994</v>
      </c>
      <c r="D49" s="139">
        <f>'Sheep Meat'!E16</f>
        <v>1096.88635333</v>
      </c>
      <c r="E49" s="139">
        <f>'Sheep Meat'!F16</f>
        <v>1048.2621236500001</v>
      </c>
      <c r="F49" s="139">
        <f>'Sheep Meat'!G16</f>
        <v>1349.74050672</v>
      </c>
      <c r="G49" s="139">
        <f>'Sheep Meat'!H16</f>
        <v>1324.37907073</v>
      </c>
      <c r="H49" s="139">
        <f>'Sheep Meat'!I16</f>
        <v>-1.8789860616712728E-2</v>
      </c>
      <c r="I49" s="139">
        <f>'Sheep Meat'!J16</f>
        <v>1149.0882747600001</v>
      </c>
      <c r="J49" s="139">
        <f>'Sheep Meat'!K16</f>
        <v>0.15254771963155855</v>
      </c>
      <c r="K49" s="8" t="str">
        <f>'Sheep Meat'!L16</f>
        <v>GTA (2023)</v>
      </c>
      <c r="L49" s="8" t="str">
        <f>'Sheep Meat'!M16</f>
        <v>IHS Global Trade Atlas (GTA) (2023). Unpublished trade data accessed via subscription service. Last Accessed October 2023.</v>
      </c>
    </row>
    <row r="50" spans="1:12" x14ac:dyDescent="0.25">
      <c r="A50" s="22" t="s">
        <v>214</v>
      </c>
      <c r="B50" s="6" t="s">
        <v>45</v>
      </c>
      <c r="C50" s="139">
        <f>+'Goat Meat'!D11</f>
        <v>5.7913579999999998</v>
      </c>
      <c r="D50" s="139">
        <f>+'Goat Meat'!E11</f>
        <v>1.3317479999999999</v>
      </c>
      <c r="E50" s="139">
        <f>+'Goat Meat'!F11</f>
        <v>3.1523319999999999</v>
      </c>
      <c r="F50" s="139">
        <f>+'Goat Meat'!G11</f>
        <v>5.0812470000000003</v>
      </c>
      <c r="G50" s="139">
        <f>+'Goat Meat'!H11</f>
        <v>11.009693</v>
      </c>
      <c r="H50" s="139">
        <f>+'Goat Meat'!I11</f>
        <v>1.1667305289429937</v>
      </c>
      <c r="I50" s="139">
        <f>+'Goat Meat'!J11</f>
        <v>5.2732755999999998</v>
      </c>
      <c r="J50" s="139">
        <f>+'Goat Meat'!K11</f>
        <v>1.0878281044138864</v>
      </c>
      <c r="K50" s="8" t="str">
        <f>+'Goat Meat'!L11</f>
        <v>GTA (2023)</v>
      </c>
      <c r="L50" s="8" t="str">
        <f>+'Goat Meat'!M11</f>
        <v>IHS Global Trade Atlas (GTA) (2023). Unpublished trade data accessed via subscription service. Last Accessed October 2023.</v>
      </c>
    </row>
    <row r="51" spans="1:12" x14ac:dyDescent="0.25">
      <c r="A51" s="22" t="s">
        <v>17</v>
      </c>
      <c r="B51" s="6" t="s">
        <v>45</v>
      </c>
      <c r="C51" s="139">
        <f>Pork!D12</f>
        <v>-138.27325342</v>
      </c>
      <c r="D51" s="139">
        <f>Pork!E12</f>
        <v>-206.70191228000002</v>
      </c>
      <c r="E51" s="139">
        <f>Pork!F12</f>
        <v>-152.96952295</v>
      </c>
      <c r="F51" s="139">
        <f>Pork!G12</f>
        <v>-199.37083668</v>
      </c>
      <c r="G51" s="139">
        <f>Pork!H12</f>
        <v>-214.97177713999997</v>
      </c>
      <c r="H51" s="139">
        <f>Pork!I12</f>
        <v>7.8250865170617967E-2</v>
      </c>
      <c r="I51" s="139">
        <f>Pork!J12</f>
        <v>-182.457460494</v>
      </c>
      <c r="J51" s="139">
        <f>Pork!K12</f>
        <v>0.17820217686888817</v>
      </c>
      <c r="K51" s="8" t="str">
        <f>Pork!L12</f>
        <v>GTA (2023)</v>
      </c>
      <c r="L51" s="8" t="str">
        <f>Pork!M12</f>
        <v>IHS Global Trade Atlas (GTA) (2023). Unpublished trade data accessed via subscription service. Last Accessed October 2023.</v>
      </c>
    </row>
    <row r="52" spans="1:12" x14ac:dyDescent="0.25">
      <c r="A52" s="22" t="s">
        <v>18</v>
      </c>
      <c r="B52" s="6" t="s">
        <v>45</v>
      </c>
      <c r="C52" s="139">
        <f>Poultry!D12</f>
        <v>18.789807530000001</v>
      </c>
      <c r="D52" s="139">
        <f>Poultry!E12</f>
        <v>23.190638509999999</v>
      </c>
      <c r="E52" s="139">
        <f>Poultry!F12</f>
        <v>12.263624</v>
      </c>
      <c r="F52" s="139">
        <f>Poultry!G12</f>
        <v>19.408910219999999</v>
      </c>
      <c r="G52" s="139">
        <f>Poultry!H12</f>
        <v>24.651083400000001</v>
      </c>
      <c r="H52" s="139">
        <f>Poultry!I12</f>
        <v>0.27009106233064961</v>
      </c>
      <c r="I52" s="139">
        <f>Poultry!J12</f>
        <v>19.660812732000004</v>
      </c>
      <c r="J52" s="139">
        <f>Poultry!K12</f>
        <v>0.25381812725767006</v>
      </c>
      <c r="K52" s="8" t="str">
        <f>Poultry!L12</f>
        <v>GTA (2023)</v>
      </c>
      <c r="L52" s="8" t="str">
        <f>Poultry!M12</f>
        <v>IHS Global Trade Atlas (GTA) (2023). Unpublished trade data accessed via subscription service. Last Accessed October 2023.</v>
      </c>
    </row>
    <row r="53" spans="1:12" x14ac:dyDescent="0.25">
      <c r="A53" s="22" t="s">
        <v>19</v>
      </c>
      <c r="B53" s="6" t="s">
        <v>45</v>
      </c>
      <c r="C53" s="139">
        <f>Wool!D15</f>
        <v>807.41811428000005</v>
      </c>
      <c r="D53" s="139">
        <f>Wool!E15</f>
        <v>527.44501875000003</v>
      </c>
      <c r="E53" s="139">
        <f>Wool!F15</f>
        <v>465.96460682999998</v>
      </c>
      <c r="F53" s="139">
        <f>Wool!G15</f>
        <v>706.06563179</v>
      </c>
      <c r="G53" s="139">
        <f>Wool!H15</f>
        <v>755.23669523000001</v>
      </c>
      <c r="H53" s="139">
        <f>Wool!I15</f>
        <v>6.9640924619631672E-2</v>
      </c>
      <c r="I53" s="139">
        <f>Wool!J15</f>
        <v>652.4260133759999</v>
      </c>
      <c r="J53" s="139">
        <f>Wool!K15</f>
        <v>0.15758213153090384</v>
      </c>
      <c r="K53" s="8" t="str">
        <f>Wool!L15</f>
        <v>GTA (2023)</v>
      </c>
      <c r="L53" s="8" t="str">
        <f>Wool!M15</f>
        <v>IHS Global Trade Atlas (GTA) (2023). Unpublished trade data accessed via subscription service. Last Accessed October 2023.</v>
      </c>
    </row>
    <row r="54" spans="1:12" x14ac:dyDescent="0.25">
      <c r="A54" s="22" t="s">
        <v>20</v>
      </c>
      <c r="B54" s="6" t="s">
        <v>45</v>
      </c>
      <c r="C54" s="139">
        <f>Eggs!D14</f>
        <v>1.0572601999999991</v>
      </c>
      <c r="D54" s="139">
        <f>Eggs!E14</f>
        <v>-9.8029605699999998</v>
      </c>
      <c r="E54" s="139">
        <f>Eggs!F14</f>
        <v>-6.1970111400000008</v>
      </c>
      <c r="F54" s="139">
        <f>Eggs!G14</f>
        <v>-8.3957017699999987</v>
      </c>
      <c r="G54" s="139">
        <f>Eggs!H14</f>
        <v>-20.523393990000002</v>
      </c>
      <c r="H54" s="139">
        <f>Eggs!I14</f>
        <v>1.444512031541588</v>
      </c>
      <c r="I54" s="139">
        <f>Eggs!J14</f>
        <v>-8.7723614540000003</v>
      </c>
      <c r="J54" s="139">
        <f>Eggs!K14</f>
        <v>1.3395517954452041</v>
      </c>
      <c r="K54" s="8" t="str">
        <f>Eggs!L14</f>
        <v>GTA (2023)</v>
      </c>
      <c r="L54" s="8" t="str">
        <f>Eggs!M14</f>
        <v>IHS Global Trade Atlas (GTA) (2023). Unpublished trade data accessed via subscription service. Last Accessed October 2023.</v>
      </c>
    </row>
    <row r="55" spans="1:12" x14ac:dyDescent="0.25">
      <c r="A55" s="22" t="s">
        <v>21</v>
      </c>
      <c r="B55" s="6" t="s">
        <v>45</v>
      </c>
      <c r="C55" s="139">
        <f>Milk!D15</f>
        <v>16.452149609999999</v>
      </c>
      <c r="D55" s="139">
        <f>Milk!E15</f>
        <v>19.46948136</v>
      </c>
      <c r="E55" s="139">
        <f>Milk!F15</f>
        <v>36.943124100000006</v>
      </c>
      <c r="F55" s="139">
        <f>Milk!G15</f>
        <v>11.54150589</v>
      </c>
      <c r="G55" s="139">
        <f>Milk!H15</f>
        <v>13.42835314</v>
      </c>
      <c r="H55" s="139">
        <f>Milk!I15</f>
        <v>0.16348362752514278</v>
      </c>
      <c r="I55" s="139">
        <f>Milk!J15</f>
        <v>19.566922819999998</v>
      </c>
      <c r="J55" s="139">
        <f>Milk!K15</f>
        <v>-0.31372177099434173</v>
      </c>
      <c r="K55" s="8" t="str">
        <f>Milk!L15</f>
        <v>GTA (2023)</v>
      </c>
      <c r="L55" s="8" t="str">
        <f>Milk!M15</f>
        <v>IHS Global Trade Atlas (GTA) (2023). Unpublished trade data accessed via subscription service. Last Accessed October 2023.</v>
      </c>
    </row>
    <row r="56" spans="1:12" x14ac:dyDescent="0.25">
      <c r="A56" s="9" t="s">
        <v>200</v>
      </c>
      <c r="B56" s="9" t="s">
        <v>45</v>
      </c>
      <c r="C56" s="140">
        <f t="shared" ref="C56:G56" si="10">SUM(C57,C58)</f>
        <v>-815.70833087000005</v>
      </c>
      <c r="D56" s="140">
        <f t="shared" si="10"/>
        <v>-723.37555899999995</v>
      </c>
      <c r="E56" s="140">
        <f t="shared" si="10"/>
        <v>-787.15150004000009</v>
      </c>
      <c r="F56" s="140">
        <f t="shared" si="10"/>
        <v>-996.81513548000009</v>
      </c>
      <c r="G56" s="140">
        <f t="shared" si="10"/>
        <v>-1087.7526190399999</v>
      </c>
      <c r="H56" s="138">
        <f t="shared" ref="H56:H60" si="11">IF(ISBLANK(F56),"N/A",IF(ISNA(F56/E56-1),"N/A",IF(ISERROR(F56/E56-1),"N/A",F56/E56-1)))</f>
        <v>0.2663574107771447</v>
      </c>
      <c r="I56" s="138"/>
      <c r="J56" s="138">
        <f t="shared" ref="J56:J60" si="12">IF(ISBLANK(F56),"",IF(ISNA(F56/AVERAGE(C56:F56)-1),"N/A",IF(ISERROR(F56/AVERAGE(C56:F56)-1),"N/A",F56/AVERAGE(C56:F56)-1)))</f>
        <v>0.19987960202682964</v>
      </c>
      <c r="K56" s="25"/>
      <c r="L56" s="25"/>
    </row>
    <row r="57" spans="1:12" x14ac:dyDescent="0.25">
      <c r="A57" s="22" t="s">
        <v>22</v>
      </c>
      <c r="B57" s="6" t="s">
        <v>45</v>
      </c>
      <c r="C57" s="139">
        <f>Forestry!D17</f>
        <v>30.046105089999998</v>
      </c>
      <c r="D57" s="139">
        <f>Forestry!E17</f>
        <v>81.783074220000003</v>
      </c>
      <c r="E57" s="139">
        <f>Forestry!F17</f>
        <v>-0.2674217499999969</v>
      </c>
      <c r="F57" s="139">
        <f>Forestry!G17</f>
        <v>-176.32584101</v>
      </c>
      <c r="G57" s="139">
        <f>Forestry!H17</f>
        <v>-142.42852898000001</v>
      </c>
      <c r="H57" s="139">
        <f>Forestry!I17</f>
        <v>-0.19224245201857604</v>
      </c>
      <c r="I57" s="139">
        <f>Forestry!J17</f>
        <v>-41.438522485999997</v>
      </c>
      <c r="J57" s="139">
        <f>Forestry!K17</f>
        <v>2.4371044244668587</v>
      </c>
      <c r="K57" s="8" t="str">
        <f>Forestry!L17</f>
        <v>GTA (2023)</v>
      </c>
      <c r="L57" s="8" t="str">
        <f>Forestry!M17</f>
        <v>IHS Global Trade Atlas (GTA) (2023). Unpublished trade data accessed via subscription service. Last Accessed October 2023.</v>
      </c>
    </row>
    <row r="58" spans="1:12" x14ac:dyDescent="0.25">
      <c r="A58" s="22" t="s">
        <v>23</v>
      </c>
      <c r="B58" s="6" t="s">
        <v>45</v>
      </c>
      <c r="C58" s="139">
        <f>Fisheries!D15</f>
        <v>-845.75443596000002</v>
      </c>
      <c r="D58" s="139">
        <f>Fisheries!E15</f>
        <v>-805.15863321999996</v>
      </c>
      <c r="E58" s="139">
        <f>Fisheries!F15</f>
        <v>-786.88407829000005</v>
      </c>
      <c r="F58" s="139">
        <f>Fisheries!G15</f>
        <v>-820.48929447000012</v>
      </c>
      <c r="G58" s="139">
        <f>Fisheries!H15</f>
        <v>-945.32409006</v>
      </c>
      <c r="H58" s="139">
        <f>Fisheries!I15</f>
        <v>0.15214676953297435</v>
      </c>
      <c r="I58" s="139">
        <f>Fisheries!J15</f>
        <v>-840.72210640000014</v>
      </c>
      <c r="J58" s="139">
        <f>Fisheries!K15</f>
        <v>0.12441921398725797</v>
      </c>
      <c r="K58" s="8" t="str">
        <f>Fisheries!L15</f>
        <v>GTA (2023)</v>
      </c>
      <c r="L58" s="8" t="str">
        <f>Fisheries!M15</f>
        <v>IHS Global Trade Atlas (GTA) (2023). Unpublished trade data accessed via subscription service. Last Accessed October 2023.</v>
      </c>
    </row>
    <row r="59" spans="1:12" x14ac:dyDescent="0.25">
      <c r="A59" s="9" t="s">
        <v>267</v>
      </c>
      <c r="B59" s="9" t="s">
        <v>45</v>
      </c>
      <c r="C59" s="33"/>
      <c r="D59" s="33"/>
      <c r="E59" s="34"/>
      <c r="F59" s="34"/>
      <c r="G59" s="34"/>
      <c r="H59" s="21" t="str">
        <f t="shared" si="11"/>
        <v>N/A</v>
      </c>
      <c r="I59" s="31"/>
      <c r="J59" s="21" t="str">
        <f t="shared" si="12"/>
        <v/>
      </c>
      <c r="K59" s="25"/>
      <c r="L59" s="25"/>
    </row>
    <row r="60" spans="1:12" x14ac:dyDescent="0.25">
      <c r="A60" s="15" t="s">
        <v>203</v>
      </c>
      <c r="B60" s="9" t="s">
        <v>45</v>
      </c>
      <c r="C60" s="33">
        <f>+Exports!C86-'Imports &amp; Trade Balance'!C27</f>
        <v>2357.7350060200001</v>
      </c>
      <c r="D60" s="33">
        <f>+Exports!D86-'Imports &amp; Trade Balance'!D27</f>
        <v>2159.6301257100004</v>
      </c>
      <c r="E60" s="33">
        <f>+Exports!E86-'Imports &amp; Trade Balance'!E27</f>
        <v>3500.1774343000002</v>
      </c>
      <c r="F60" s="33">
        <f>+Exports!F86-'Imports &amp; Trade Balance'!F27</f>
        <v>6820.1654390700005</v>
      </c>
      <c r="G60" s="33">
        <f>+Exports!G86-'Imports &amp; Trade Balance'!G27</f>
        <v>6653.3979625599986</v>
      </c>
      <c r="H60" s="21">
        <f t="shared" si="11"/>
        <v>0.94851991565792271</v>
      </c>
      <c r="I60" s="31"/>
      <c r="J60" s="21">
        <f t="shared" si="12"/>
        <v>0.8386034923253054</v>
      </c>
      <c r="K60" s="11"/>
      <c r="L60" s="11"/>
    </row>
    <row r="61" spans="1:12" x14ac:dyDescent="0.25">
      <c r="A61" s="26" t="s">
        <v>43</v>
      </c>
      <c r="B61" s="27"/>
      <c r="C61" s="27"/>
      <c r="D61" s="27"/>
      <c r="E61" s="27"/>
      <c r="F61" s="27"/>
      <c r="G61" s="27"/>
      <c r="H61" s="28"/>
      <c r="I61" s="28"/>
      <c r="J61" s="28"/>
      <c r="K61" s="13"/>
      <c r="L61" s="13"/>
    </row>
    <row r="62" spans="1:12" x14ac:dyDescent="0.25">
      <c r="A62" s="13" t="s">
        <v>268</v>
      </c>
      <c r="B62" s="13"/>
      <c r="C62" s="13"/>
      <c r="D62" s="13"/>
      <c r="E62" s="13"/>
      <c r="F62" s="13"/>
      <c r="G62" s="13"/>
      <c r="H62" s="29"/>
      <c r="I62" s="29"/>
      <c r="J62" s="29"/>
      <c r="K62" s="13"/>
      <c r="L62" s="13"/>
    </row>
    <row r="63" spans="1:12" x14ac:dyDescent="0.25">
      <c r="A63" s="13" t="s">
        <v>269</v>
      </c>
      <c r="B63" s="13"/>
      <c r="C63" s="13"/>
      <c r="D63" s="13"/>
      <c r="E63" s="13"/>
      <c r="F63" s="13"/>
      <c r="G63" s="13"/>
      <c r="H63" s="29"/>
      <c r="I63" s="29"/>
      <c r="J63" s="29"/>
      <c r="K63" s="13"/>
      <c r="L63" s="13"/>
    </row>
    <row r="64" spans="1:12" x14ac:dyDescent="0.25">
      <c r="A64" s="13" t="s">
        <v>270</v>
      </c>
      <c r="B64" s="13"/>
      <c r="C64" s="13"/>
      <c r="D64" s="13"/>
      <c r="E64" s="13"/>
      <c r="F64" s="13"/>
      <c r="G64" s="13"/>
      <c r="H64" s="29"/>
      <c r="I64" s="29"/>
      <c r="J64" s="29"/>
      <c r="K64" s="13"/>
      <c r="L64" s="13"/>
    </row>
    <row r="65" spans="1:12" x14ac:dyDescent="0.25">
      <c r="A65" s="13" t="s">
        <v>271</v>
      </c>
      <c r="B65" s="13"/>
      <c r="C65" s="13"/>
      <c r="D65" s="13"/>
      <c r="E65" s="13"/>
      <c r="F65" s="13"/>
      <c r="G65" s="13"/>
      <c r="H65" s="29"/>
      <c r="I65" s="29"/>
      <c r="J65" s="29"/>
      <c r="K65" s="13"/>
      <c r="L65" s="13"/>
    </row>
  </sheetData>
  <conditionalFormatting sqref="A39">
    <cfRule type="expression" dxfId="39" priority="11">
      <formula>MOD(ROW(),2)=0</formula>
    </cfRule>
  </conditionalFormatting>
  <conditionalFormatting sqref="H60:L60 A35:B38 B39 A2:E8 B9:E9 C35:G60 H36:L43 G48:L55 G57:L58 A40:B60 K2:L2 C3:L25 K35:L35 G45:L46 K44:L44 H48:L58 K47:L47 A10:E27 C27:L27">
    <cfRule type="expression" dxfId="38" priority="19">
      <formula>MOD(ROW(),2)=0</formula>
    </cfRule>
  </conditionalFormatting>
  <conditionalFormatting sqref="K26:L26">
    <cfRule type="expression" dxfId="37" priority="18">
      <formula>MOD(ROW(),2)=0</formula>
    </cfRule>
  </conditionalFormatting>
  <conditionalFormatting sqref="H26:J26">
    <cfRule type="expression" dxfId="36" priority="17">
      <formula>MOD(ROW(),2)=0</formula>
    </cfRule>
  </conditionalFormatting>
  <conditionalFormatting sqref="K59:L59">
    <cfRule type="expression" dxfId="35" priority="16">
      <formula>MOD(ROW(),2)=0</formula>
    </cfRule>
  </conditionalFormatting>
  <conditionalFormatting sqref="H59:J59">
    <cfRule type="expression" dxfId="34" priority="15">
      <formula>MOD(ROW(),2)=0</formula>
    </cfRule>
  </conditionalFormatting>
  <conditionalFormatting sqref="F2:G25 G24:J25 G15:J22 G12:J13 G3:J10 C27:G27">
    <cfRule type="expression" dxfId="33" priority="14">
      <formula>MOD(ROW(),2)=0</formula>
    </cfRule>
  </conditionalFormatting>
  <conditionalFormatting sqref="A9">
    <cfRule type="expression" dxfId="32" priority="12">
      <formula>MOD(ROW(),2)=0</formula>
    </cfRule>
  </conditionalFormatting>
  <conditionalFormatting sqref="F26">
    <cfRule type="expression" dxfId="31" priority="10">
      <formula>MOD(ROW(),2)=0</formula>
    </cfRule>
  </conditionalFormatting>
  <conditionalFormatting sqref="G26">
    <cfRule type="expression" dxfId="30" priority="9">
      <formula>MOD(ROW(),2)=0</formula>
    </cfRule>
  </conditionalFormatting>
  <conditionalFormatting sqref="K24:L25">
    <cfRule type="expression" dxfId="29" priority="8">
      <formula>MOD(ROW(),2)=0</formula>
    </cfRule>
  </conditionalFormatting>
  <conditionalFormatting sqref="K15:L22">
    <cfRule type="expression" dxfId="28" priority="7">
      <formula>MOD(ROW(),2)=0</formula>
    </cfRule>
  </conditionalFormatting>
  <conditionalFormatting sqref="K12:L13">
    <cfRule type="expression" dxfId="27" priority="6">
      <formula>MOD(ROW(),2)=0</formula>
    </cfRule>
  </conditionalFormatting>
  <conditionalFormatting sqref="K3:L10">
    <cfRule type="expression" dxfId="26" priority="5">
      <formula>MOD(ROW(),2)=0</formula>
    </cfRule>
  </conditionalFormatting>
  <conditionalFormatting sqref="H2:J2">
    <cfRule type="expression" dxfId="25" priority="4">
      <formula>MOD(ROW(),2)=0</formula>
    </cfRule>
  </conditionalFormatting>
  <conditionalFormatting sqref="H35:J35">
    <cfRule type="expression" dxfId="24" priority="3">
      <formula>MOD(ROW(),2)=0</formula>
    </cfRule>
  </conditionalFormatting>
  <conditionalFormatting sqref="H44:J44">
    <cfRule type="expression" dxfId="23" priority="2">
      <formula>MOD(ROW(),2)=0</formula>
    </cfRule>
  </conditionalFormatting>
  <conditionalFormatting sqref="H47:J47">
    <cfRule type="expression" dxfId="22" priority="1">
      <formula>MOD(ROW(),2)=0</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60D70-0857-4AE7-AF00-17CF3B1D4F63}">
  <sheetPr codeName="Sheet27"/>
  <dimension ref="A1:G63"/>
  <sheetViews>
    <sheetView workbookViewId="0"/>
  </sheetViews>
  <sheetFormatPr defaultRowHeight="15" x14ac:dyDescent="0.25"/>
  <cols>
    <col min="1" max="1" width="65.7109375" customWidth="1"/>
    <col min="2" max="2" width="12.7109375" customWidth="1"/>
    <col min="4" max="4" width="17.28515625" bestFit="1" customWidth="1"/>
    <col min="5" max="5" width="23.85546875" bestFit="1" customWidth="1"/>
    <col min="6" max="6" width="17.28515625" bestFit="1" customWidth="1"/>
    <col min="7" max="7" width="25.5703125" bestFit="1" customWidth="1"/>
  </cols>
  <sheetData>
    <row r="1" spans="1:7" x14ac:dyDescent="0.25">
      <c r="A1" s="5" t="s">
        <v>323</v>
      </c>
      <c r="B1" s="5" t="s">
        <v>149</v>
      </c>
      <c r="C1" s="5" t="s">
        <v>44</v>
      </c>
      <c r="D1" s="5" t="s">
        <v>259</v>
      </c>
      <c r="E1" s="5" t="s">
        <v>260</v>
      </c>
      <c r="F1" s="5" t="s">
        <v>261</v>
      </c>
      <c r="G1" s="5" t="s">
        <v>262</v>
      </c>
    </row>
    <row r="2" spans="1:7" x14ac:dyDescent="0.25">
      <c r="A2" s="5"/>
      <c r="B2" s="5"/>
      <c r="C2" s="150"/>
      <c r="D2" s="150" t="s">
        <v>389</v>
      </c>
      <c r="E2" s="150" t="s">
        <v>389</v>
      </c>
      <c r="F2" s="150" t="s">
        <v>390</v>
      </c>
      <c r="G2" s="150" t="s">
        <v>390</v>
      </c>
    </row>
    <row r="3" spans="1:7" x14ac:dyDescent="0.25">
      <c r="A3" s="6" t="s">
        <v>150</v>
      </c>
      <c r="B3" s="6" t="s">
        <v>151</v>
      </c>
      <c r="C3" s="6" t="s">
        <v>152</v>
      </c>
      <c r="D3" s="7">
        <v>63108.727875000004</v>
      </c>
      <c r="E3" s="7">
        <v>47532.141212499999</v>
      </c>
      <c r="F3" s="7">
        <v>46523</v>
      </c>
      <c r="G3" s="7">
        <v>3623</v>
      </c>
    </row>
    <row r="4" spans="1:7" x14ac:dyDescent="0.25">
      <c r="A4" s="6" t="s">
        <v>23</v>
      </c>
      <c r="B4" s="6" t="s">
        <v>151</v>
      </c>
      <c r="C4" s="6" t="s">
        <v>152</v>
      </c>
      <c r="D4" s="7">
        <v>1541.427635</v>
      </c>
      <c r="E4" s="7">
        <v>1199.2912174999999</v>
      </c>
      <c r="F4" s="7">
        <v>970</v>
      </c>
      <c r="G4" s="7">
        <v>33</v>
      </c>
    </row>
    <row r="5" spans="1:7" x14ac:dyDescent="0.25">
      <c r="A5" s="6" t="s">
        <v>22</v>
      </c>
      <c r="B5" s="6" t="s">
        <v>151</v>
      </c>
      <c r="C5" s="6" t="s">
        <v>152</v>
      </c>
      <c r="D5" s="7">
        <v>935.65451999999993</v>
      </c>
      <c r="E5" s="7">
        <v>14011.0812375</v>
      </c>
      <c r="F5" s="7">
        <v>996</v>
      </c>
      <c r="G5" s="7">
        <v>2484</v>
      </c>
    </row>
    <row r="6" spans="1:7" x14ac:dyDescent="0.25">
      <c r="A6" s="6" t="s">
        <v>153</v>
      </c>
      <c r="B6" s="6" t="s">
        <v>151</v>
      </c>
      <c r="C6" s="6" t="s">
        <v>152</v>
      </c>
      <c r="D6" s="7">
        <v>10477.424685</v>
      </c>
      <c r="E6" s="8"/>
      <c r="F6" s="7">
        <v>5476</v>
      </c>
      <c r="G6" s="8"/>
    </row>
    <row r="7" spans="1:7" x14ac:dyDescent="0.25">
      <c r="A7" s="9" t="s">
        <v>154</v>
      </c>
      <c r="B7" s="9" t="s">
        <v>151</v>
      </c>
      <c r="C7" s="9" t="s">
        <v>152</v>
      </c>
      <c r="D7" s="10">
        <f>SUM(D3:D6)</f>
        <v>76063.234715000013</v>
      </c>
      <c r="E7" s="10">
        <f>SUM(E3:E6)</f>
        <v>62742.513667500003</v>
      </c>
      <c r="F7" s="10">
        <f>SUM(F3:F6)</f>
        <v>53965</v>
      </c>
      <c r="G7" s="10">
        <f>SUM(G3:G6)</f>
        <v>6140</v>
      </c>
    </row>
    <row r="8" spans="1:7" x14ac:dyDescent="0.25">
      <c r="A8" s="6" t="s">
        <v>155</v>
      </c>
      <c r="B8" s="6"/>
      <c r="C8" s="6"/>
      <c r="D8" s="6" t="s">
        <v>394</v>
      </c>
      <c r="E8" s="6" t="s">
        <v>394</v>
      </c>
      <c r="F8" s="6" t="s">
        <v>395</v>
      </c>
      <c r="G8" s="6" t="s">
        <v>395</v>
      </c>
    </row>
    <row r="9" spans="1:7" x14ac:dyDescent="0.25">
      <c r="A9" s="11" t="s">
        <v>325</v>
      </c>
      <c r="B9" s="11"/>
      <c r="C9" s="11" t="s">
        <v>391</v>
      </c>
      <c r="D9" s="11"/>
      <c r="E9" s="11"/>
      <c r="F9" s="11"/>
      <c r="G9" s="11"/>
    </row>
    <row r="10" spans="1:7" x14ac:dyDescent="0.25">
      <c r="A10" s="11" t="s">
        <v>326</v>
      </c>
      <c r="B10" s="11"/>
      <c r="C10" s="11" t="s">
        <v>392</v>
      </c>
      <c r="D10" s="11"/>
      <c r="E10" s="11"/>
      <c r="F10" s="11"/>
      <c r="G10" s="11"/>
    </row>
    <row r="11" spans="1:7" x14ac:dyDescent="0.25">
      <c r="A11" s="12" t="s">
        <v>393</v>
      </c>
      <c r="B11" s="13"/>
      <c r="C11" s="13"/>
      <c r="D11" s="13"/>
      <c r="E11" s="13"/>
      <c r="F11" s="13"/>
      <c r="G11" s="13"/>
    </row>
    <row r="12" spans="1:7" x14ac:dyDescent="0.25">
      <c r="A12" s="13" t="s">
        <v>396</v>
      </c>
      <c r="B12" s="13"/>
      <c r="C12" s="13"/>
      <c r="D12" s="14"/>
      <c r="E12" s="13"/>
      <c r="F12" s="13"/>
      <c r="G12" s="13"/>
    </row>
    <row r="13" spans="1:7" x14ac:dyDescent="0.25">
      <c r="A13" s="13"/>
      <c r="B13" s="13"/>
      <c r="C13" s="13"/>
      <c r="D13" s="13"/>
      <c r="E13" s="13"/>
      <c r="F13" s="13"/>
      <c r="G13" s="13"/>
    </row>
    <row r="14" spans="1:7" x14ac:dyDescent="0.25">
      <c r="A14" s="5" t="s">
        <v>156</v>
      </c>
      <c r="B14" s="5" t="s">
        <v>149</v>
      </c>
      <c r="C14" s="5" t="s">
        <v>44</v>
      </c>
      <c r="D14" s="5" t="s">
        <v>259</v>
      </c>
      <c r="E14" s="5" t="s">
        <v>260</v>
      </c>
      <c r="F14" s="5" t="s">
        <v>261</v>
      </c>
      <c r="G14" s="5" t="s">
        <v>262</v>
      </c>
    </row>
    <row r="15" spans="1:7" x14ac:dyDescent="0.25">
      <c r="A15" s="5"/>
      <c r="B15" s="5"/>
      <c r="C15" s="5"/>
      <c r="D15" s="129" t="str">
        <f>+D2</f>
        <v>2022-23</v>
      </c>
      <c r="E15" s="129" t="str">
        <f t="shared" ref="E15:G15" si="0">+E2</f>
        <v>2022-23</v>
      </c>
      <c r="F15" s="129" t="str">
        <f t="shared" si="0"/>
        <v>As at 30 June 2022</v>
      </c>
      <c r="G15" s="129" t="str">
        <f t="shared" si="0"/>
        <v>As at 30 June 2022</v>
      </c>
    </row>
    <row r="16" spans="1:7" x14ac:dyDescent="0.25">
      <c r="A16" s="15" t="s">
        <v>157</v>
      </c>
      <c r="B16" s="11"/>
      <c r="C16" s="9" t="s">
        <v>152</v>
      </c>
      <c r="D16" s="16">
        <f>SUM(D17,D18,D29,D31,D33,D37,D41,D52,D55)</f>
        <v>76063.234715000013</v>
      </c>
      <c r="E16" s="16"/>
      <c r="F16" s="16">
        <f>SUM(F17,F18,F29,F31,F33,F37,F41,F52,F55)</f>
        <v>53965</v>
      </c>
      <c r="G16" s="16"/>
    </row>
    <row r="17" spans="1:7" x14ac:dyDescent="0.25">
      <c r="A17" s="17" t="s">
        <v>158</v>
      </c>
      <c r="B17" s="6"/>
      <c r="C17" s="6" t="s">
        <v>152</v>
      </c>
      <c r="D17" s="8">
        <v>0</v>
      </c>
      <c r="E17" s="8"/>
      <c r="F17" s="8">
        <v>0</v>
      </c>
      <c r="G17" s="8"/>
    </row>
    <row r="18" spans="1:7" x14ac:dyDescent="0.25">
      <c r="A18" s="18" t="s">
        <v>159</v>
      </c>
      <c r="B18" s="11"/>
      <c r="C18" s="9" t="s">
        <v>152</v>
      </c>
      <c r="D18" s="16">
        <f>+SUM(D19:D28)</f>
        <v>63108.727875000004</v>
      </c>
      <c r="E18" s="16"/>
      <c r="F18" s="16">
        <f>+SUM(F19:F28)</f>
        <v>46523</v>
      </c>
      <c r="G18" s="16"/>
    </row>
    <row r="19" spans="1:7" x14ac:dyDescent="0.25">
      <c r="A19" s="17" t="s">
        <v>160</v>
      </c>
      <c r="B19" s="6" t="str">
        <f>MID(A19,2,2)</f>
        <v>10</v>
      </c>
      <c r="C19" s="6" t="s">
        <v>152</v>
      </c>
      <c r="D19" s="8">
        <v>6414.9911599999996</v>
      </c>
      <c r="E19" s="8">
        <v>0</v>
      </c>
      <c r="F19" s="8">
        <v>0</v>
      </c>
      <c r="G19" s="8"/>
    </row>
    <row r="20" spans="1:7" x14ac:dyDescent="0.25">
      <c r="A20" s="17" t="s">
        <v>161</v>
      </c>
      <c r="B20" s="6" t="str">
        <f t="shared" ref="B20:B28" si="1">MID(A20,2,2)</f>
        <v>11</v>
      </c>
      <c r="C20" s="6" t="s">
        <v>152</v>
      </c>
      <c r="D20" s="8">
        <v>1484.8036149999998</v>
      </c>
      <c r="E20" s="8">
        <v>0</v>
      </c>
      <c r="F20" s="8">
        <v>681</v>
      </c>
      <c r="G20" s="8"/>
    </row>
    <row r="21" spans="1:7" x14ac:dyDescent="0.25">
      <c r="A21" s="17" t="s">
        <v>162</v>
      </c>
      <c r="B21" s="6" t="str">
        <f t="shared" si="1"/>
        <v>12</v>
      </c>
      <c r="C21" s="6" t="s">
        <v>152</v>
      </c>
      <c r="D21" s="8">
        <v>2161.1508975000002</v>
      </c>
      <c r="E21" s="8">
        <v>0</v>
      </c>
      <c r="F21" s="8">
        <v>1493</v>
      </c>
      <c r="G21" s="8"/>
    </row>
    <row r="22" spans="1:7" x14ac:dyDescent="0.25">
      <c r="A22" s="17" t="s">
        <v>163</v>
      </c>
      <c r="B22" s="6" t="str">
        <f t="shared" si="1"/>
        <v>13</v>
      </c>
      <c r="C22" s="6" t="s">
        <v>152</v>
      </c>
      <c r="D22" s="8">
        <v>4514.3543499999996</v>
      </c>
      <c r="E22" s="8">
        <v>0</v>
      </c>
      <c r="F22" s="8">
        <v>3135</v>
      </c>
      <c r="G22" s="8"/>
    </row>
    <row r="23" spans="1:7" x14ac:dyDescent="0.25">
      <c r="A23" s="17" t="s">
        <v>164</v>
      </c>
      <c r="B23" s="6" t="str">
        <f t="shared" si="1"/>
        <v>14</v>
      </c>
      <c r="C23" s="6" t="s">
        <v>152</v>
      </c>
      <c r="D23" s="8">
        <v>42739.199152499998</v>
      </c>
      <c r="E23" s="8">
        <v>0</v>
      </c>
      <c r="F23" s="8">
        <v>35377</v>
      </c>
      <c r="G23" s="8"/>
    </row>
    <row r="24" spans="1:7" x14ac:dyDescent="0.25">
      <c r="A24" s="17" t="s">
        <v>165</v>
      </c>
      <c r="B24" s="6" t="str">
        <f t="shared" si="1"/>
        <v>15</v>
      </c>
      <c r="C24" s="6" t="s">
        <v>152</v>
      </c>
      <c r="D24" s="8">
        <v>594.89048500000001</v>
      </c>
      <c r="E24" s="8">
        <v>0</v>
      </c>
      <c r="F24" s="8">
        <v>1372</v>
      </c>
      <c r="G24" s="8"/>
    </row>
    <row r="25" spans="1:7" x14ac:dyDescent="0.25">
      <c r="A25" s="17" t="s">
        <v>166</v>
      </c>
      <c r="B25" s="6" t="str">
        <f t="shared" si="1"/>
        <v>16</v>
      </c>
      <c r="C25" s="6" t="s">
        <v>152</v>
      </c>
      <c r="D25" s="8">
        <v>1153.6605550000002</v>
      </c>
      <c r="E25" s="8">
        <v>0</v>
      </c>
      <c r="F25" s="8">
        <v>1309</v>
      </c>
      <c r="G25" s="8"/>
    </row>
    <row r="26" spans="1:7" x14ac:dyDescent="0.25">
      <c r="A26" s="17" t="s">
        <v>167</v>
      </c>
      <c r="B26" s="6" t="str">
        <f t="shared" si="1"/>
        <v>17</v>
      </c>
      <c r="C26" s="6" t="s">
        <v>152</v>
      </c>
      <c r="D26" s="8">
        <v>651.03943749999996</v>
      </c>
      <c r="E26" s="8">
        <v>0</v>
      </c>
      <c r="F26" s="8">
        <v>557</v>
      </c>
      <c r="G26" s="8"/>
    </row>
    <row r="27" spans="1:7" x14ac:dyDescent="0.25">
      <c r="A27" s="17" t="s">
        <v>168</v>
      </c>
      <c r="B27" s="6" t="str">
        <f t="shared" si="1"/>
        <v>18</v>
      </c>
      <c r="C27" s="6" t="s">
        <v>152</v>
      </c>
      <c r="D27" s="8">
        <v>0</v>
      </c>
      <c r="E27" s="8">
        <v>0</v>
      </c>
      <c r="F27" s="8">
        <v>21</v>
      </c>
      <c r="G27" s="8"/>
    </row>
    <row r="28" spans="1:7" x14ac:dyDescent="0.25">
      <c r="A28" s="17" t="s">
        <v>169</v>
      </c>
      <c r="B28" s="6" t="str">
        <f t="shared" si="1"/>
        <v>19</v>
      </c>
      <c r="C28" s="6" t="s">
        <v>152</v>
      </c>
      <c r="D28" s="8">
        <v>3394.6382225000002</v>
      </c>
      <c r="E28" s="8">
        <v>0</v>
      </c>
      <c r="F28" s="8">
        <v>2578</v>
      </c>
      <c r="G28" s="8"/>
    </row>
    <row r="29" spans="1:7" x14ac:dyDescent="0.25">
      <c r="A29" s="18" t="s">
        <v>170</v>
      </c>
      <c r="B29" s="11"/>
      <c r="C29" s="9" t="s">
        <v>152</v>
      </c>
      <c r="D29" s="16">
        <v>651.80302499999993</v>
      </c>
      <c r="E29" s="16">
        <v>0</v>
      </c>
      <c r="F29" s="16">
        <v>335</v>
      </c>
      <c r="G29" s="16"/>
    </row>
    <row r="30" spans="1:7" x14ac:dyDescent="0.25">
      <c r="A30" s="17" t="s">
        <v>171</v>
      </c>
      <c r="B30" s="6" t="str">
        <f>MID(A30,2,2)</f>
        <v>20</v>
      </c>
      <c r="C30" s="6" t="s">
        <v>152</v>
      </c>
      <c r="D30" s="8">
        <v>651.80302499999993</v>
      </c>
      <c r="E30" s="8">
        <v>0</v>
      </c>
      <c r="F30" s="8">
        <v>335</v>
      </c>
      <c r="G30" s="8"/>
    </row>
    <row r="31" spans="1:7" x14ac:dyDescent="0.25">
      <c r="A31" s="18" t="s">
        <v>172</v>
      </c>
      <c r="B31" s="11"/>
      <c r="C31" s="9" t="s">
        <v>152</v>
      </c>
      <c r="D31" s="16">
        <v>935.65451999999993</v>
      </c>
      <c r="E31" s="16">
        <v>0</v>
      </c>
      <c r="F31" s="16">
        <v>996</v>
      </c>
      <c r="G31" s="16"/>
    </row>
    <row r="32" spans="1:7" x14ac:dyDescent="0.25">
      <c r="A32" s="17" t="s">
        <v>173</v>
      </c>
      <c r="B32" s="6" t="str">
        <f>MID(A32,2,2)</f>
        <v>30</v>
      </c>
      <c r="C32" s="6" t="s">
        <v>152</v>
      </c>
      <c r="D32" s="8">
        <v>935.65451999999993</v>
      </c>
      <c r="E32" s="8">
        <v>0</v>
      </c>
      <c r="F32" s="8">
        <v>996</v>
      </c>
      <c r="G32" s="8"/>
    </row>
    <row r="33" spans="1:7" x14ac:dyDescent="0.25">
      <c r="A33" s="18" t="s">
        <v>174</v>
      </c>
      <c r="B33" s="11"/>
      <c r="C33" s="9" t="s">
        <v>152</v>
      </c>
      <c r="D33" s="16">
        <f>SUM(D34:D36)</f>
        <v>889.62461000000008</v>
      </c>
      <c r="E33" s="16"/>
      <c r="F33" s="16">
        <f>+SUM(F34:F36)</f>
        <v>886</v>
      </c>
      <c r="G33" s="16"/>
    </row>
    <row r="34" spans="1:7" x14ac:dyDescent="0.25">
      <c r="A34" s="17" t="s">
        <v>175</v>
      </c>
      <c r="B34" s="6" t="str">
        <f t="shared" ref="B34:B38" si="2">MID(A34,2,2)</f>
        <v>40</v>
      </c>
      <c r="C34" s="6" t="s">
        <v>152</v>
      </c>
      <c r="D34" s="8">
        <v>0</v>
      </c>
      <c r="E34" s="8">
        <v>0</v>
      </c>
      <c r="F34" s="8">
        <v>0</v>
      </c>
      <c r="G34" s="8"/>
    </row>
    <row r="35" spans="1:7" x14ac:dyDescent="0.25">
      <c r="A35" s="17" t="s">
        <v>176</v>
      </c>
      <c r="B35" s="6" t="str">
        <f t="shared" si="2"/>
        <v>41</v>
      </c>
      <c r="C35" s="6" t="s">
        <v>152</v>
      </c>
      <c r="D35" s="8">
        <v>889.62461000000008</v>
      </c>
      <c r="E35" s="8">
        <v>0</v>
      </c>
      <c r="F35" s="8">
        <v>635</v>
      </c>
      <c r="G35" s="8"/>
    </row>
    <row r="36" spans="1:7" x14ac:dyDescent="0.25">
      <c r="A36" s="17" t="s">
        <v>177</v>
      </c>
      <c r="B36" s="6" t="str">
        <f t="shared" si="2"/>
        <v>42</v>
      </c>
      <c r="C36" s="6" t="s">
        <v>152</v>
      </c>
      <c r="D36" s="8">
        <v>0</v>
      </c>
      <c r="E36" s="8">
        <v>0</v>
      </c>
      <c r="F36" s="8">
        <v>251</v>
      </c>
      <c r="G36" s="8"/>
    </row>
    <row r="37" spans="1:7" x14ac:dyDescent="0.25">
      <c r="A37" s="18" t="s">
        <v>178</v>
      </c>
      <c r="B37" s="11"/>
      <c r="C37" s="9" t="s">
        <v>152</v>
      </c>
      <c r="D37" s="16">
        <f>+SUM(D39:D40)</f>
        <v>10477.424685</v>
      </c>
      <c r="E37" s="16"/>
      <c r="F37" s="16">
        <f>+SUM(F38:F40)</f>
        <v>5225</v>
      </c>
      <c r="G37" s="16"/>
    </row>
    <row r="38" spans="1:7" x14ac:dyDescent="0.25">
      <c r="A38" s="17" t="s">
        <v>208</v>
      </c>
      <c r="B38" s="6" t="str">
        <f t="shared" si="2"/>
        <v>50</v>
      </c>
      <c r="C38" s="6" t="s">
        <v>152</v>
      </c>
      <c r="D38" s="8">
        <v>145.82258000000002</v>
      </c>
      <c r="E38" s="8">
        <v>0</v>
      </c>
      <c r="F38" s="8">
        <v>0</v>
      </c>
      <c r="G38" s="16"/>
    </row>
    <row r="39" spans="1:7" x14ac:dyDescent="0.25">
      <c r="A39" s="17" t="s">
        <v>179</v>
      </c>
      <c r="B39" s="6" t="str">
        <f t="shared" ref="B39:B40" si="3">MID(A39,2,2)</f>
        <v>51</v>
      </c>
      <c r="C39" s="6" t="s">
        <v>152</v>
      </c>
      <c r="D39" s="8">
        <v>1491.519225</v>
      </c>
      <c r="E39" s="8">
        <v>0</v>
      </c>
      <c r="F39" s="8">
        <v>295</v>
      </c>
      <c r="G39" s="8"/>
    </row>
    <row r="40" spans="1:7" x14ac:dyDescent="0.25">
      <c r="A40" s="17" t="s">
        <v>180</v>
      </c>
      <c r="B40" s="6" t="str">
        <f t="shared" si="3"/>
        <v>52</v>
      </c>
      <c r="C40" s="6" t="s">
        <v>152</v>
      </c>
      <c r="D40" s="8">
        <v>8985.9054599999999</v>
      </c>
      <c r="E40" s="8">
        <v>0</v>
      </c>
      <c r="F40" s="8">
        <v>4930</v>
      </c>
      <c r="G40" s="8"/>
    </row>
    <row r="41" spans="1:7" x14ac:dyDescent="0.25">
      <c r="A41" s="18" t="s">
        <v>181</v>
      </c>
      <c r="B41" s="11"/>
      <c r="C41" s="9" t="s">
        <v>152</v>
      </c>
      <c r="D41" s="16"/>
      <c r="E41" s="16">
        <f>SUM(E42:E51)</f>
        <v>48731.432429999993</v>
      </c>
      <c r="F41" s="16"/>
      <c r="G41" s="16">
        <f t="shared" ref="G41" si="4">SUM(G42:G51)</f>
        <v>3656</v>
      </c>
    </row>
    <row r="42" spans="1:7" x14ac:dyDescent="0.25">
      <c r="A42" s="17" t="s">
        <v>182</v>
      </c>
      <c r="B42" s="6" t="str">
        <f t="shared" ref="B42:B51" si="5">MID(A42,2,2)</f>
        <v>10</v>
      </c>
      <c r="C42" s="6" t="s">
        <v>152</v>
      </c>
      <c r="D42" s="8"/>
      <c r="E42" s="8">
        <v>3672.1207400000003</v>
      </c>
      <c r="F42" s="8">
        <v>0</v>
      </c>
      <c r="G42" s="8">
        <v>0</v>
      </c>
    </row>
    <row r="43" spans="1:7" x14ac:dyDescent="0.25">
      <c r="A43" s="17" t="s">
        <v>183</v>
      </c>
      <c r="B43" s="6" t="str">
        <f t="shared" si="5"/>
        <v>11</v>
      </c>
      <c r="C43" s="6" t="s">
        <v>152</v>
      </c>
      <c r="D43" s="8"/>
      <c r="E43" s="8">
        <v>13570.66678</v>
      </c>
      <c r="F43" s="8">
        <v>0</v>
      </c>
      <c r="G43" s="8">
        <v>326</v>
      </c>
    </row>
    <row r="44" spans="1:7" x14ac:dyDescent="0.25">
      <c r="A44" s="17" t="s">
        <v>184</v>
      </c>
      <c r="B44" s="6" t="str">
        <f t="shared" si="5"/>
        <v>12</v>
      </c>
      <c r="C44" s="6" t="s">
        <v>152</v>
      </c>
      <c r="D44" s="8"/>
      <c r="E44" s="8">
        <v>1199.2912174999999</v>
      </c>
      <c r="F44" s="8">
        <v>0</v>
      </c>
      <c r="G44" s="8">
        <v>33</v>
      </c>
    </row>
    <row r="45" spans="1:7" x14ac:dyDescent="0.25">
      <c r="A45" s="17" t="s">
        <v>185</v>
      </c>
      <c r="B45" s="6" t="str">
        <f t="shared" si="5"/>
        <v>13</v>
      </c>
      <c r="C45" s="6" t="s">
        <v>152</v>
      </c>
      <c r="D45" s="8"/>
      <c r="E45" s="8">
        <v>3357.1876549999997</v>
      </c>
      <c r="F45" s="8">
        <v>0</v>
      </c>
      <c r="G45" s="8">
        <v>147</v>
      </c>
    </row>
    <row r="46" spans="1:7" x14ac:dyDescent="0.25">
      <c r="A46" s="17" t="s">
        <v>186</v>
      </c>
      <c r="B46" s="6" t="str">
        <f t="shared" si="5"/>
        <v>14</v>
      </c>
      <c r="C46" s="6" t="s">
        <v>152</v>
      </c>
      <c r="D46" s="8"/>
      <c r="E46" s="8">
        <v>1623.6900350000001</v>
      </c>
      <c r="F46" s="8">
        <v>0</v>
      </c>
      <c r="G46" s="8">
        <v>189</v>
      </c>
    </row>
    <row r="47" spans="1:7" x14ac:dyDescent="0.25">
      <c r="A47" s="17" t="s">
        <v>187</v>
      </c>
      <c r="B47" s="6" t="str">
        <f t="shared" si="5"/>
        <v>15</v>
      </c>
      <c r="C47" s="6" t="s">
        <v>152</v>
      </c>
      <c r="D47" s="8"/>
      <c r="E47" s="8">
        <v>0</v>
      </c>
      <c r="F47" s="8">
        <v>0</v>
      </c>
      <c r="G47" s="8">
        <v>34</v>
      </c>
    </row>
    <row r="48" spans="1:7" x14ac:dyDescent="0.25">
      <c r="A48" s="17" t="s">
        <v>188</v>
      </c>
      <c r="B48" s="6" t="str">
        <f t="shared" si="5"/>
        <v>16</v>
      </c>
      <c r="C48" s="6" t="s">
        <v>152</v>
      </c>
      <c r="D48" s="8"/>
      <c r="E48" s="8">
        <v>1553.8165349999999</v>
      </c>
      <c r="F48" s="8">
        <v>0</v>
      </c>
      <c r="G48" s="8">
        <v>121</v>
      </c>
    </row>
    <row r="49" spans="1:7" x14ac:dyDescent="0.25">
      <c r="A49" s="17" t="s">
        <v>189</v>
      </c>
      <c r="B49" s="6" t="str">
        <f t="shared" si="5"/>
        <v>17</v>
      </c>
      <c r="C49" s="6" t="s">
        <v>152</v>
      </c>
      <c r="D49" s="8"/>
      <c r="E49" s="8">
        <v>14196.128755</v>
      </c>
      <c r="F49" s="8">
        <v>0</v>
      </c>
      <c r="G49" s="8">
        <v>1988</v>
      </c>
    </row>
    <row r="50" spans="1:7" x14ac:dyDescent="0.25">
      <c r="A50" s="17" t="s">
        <v>190</v>
      </c>
      <c r="B50" s="6" t="str">
        <f t="shared" si="5"/>
        <v>18</v>
      </c>
      <c r="C50" s="6" t="s">
        <v>152</v>
      </c>
      <c r="D50" s="8"/>
      <c r="E50" s="8">
        <v>2321.2545474999997</v>
      </c>
      <c r="F50" s="8">
        <v>0</v>
      </c>
      <c r="G50" s="8">
        <v>135</v>
      </c>
    </row>
    <row r="51" spans="1:7" x14ac:dyDescent="0.25">
      <c r="A51" s="17" t="s">
        <v>191</v>
      </c>
      <c r="B51" s="6" t="str">
        <f t="shared" si="5"/>
        <v>19</v>
      </c>
      <c r="C51" s="6" t="s">
        <v>152</v>
      </c>
      <c r="D51" s="8"/>
      <c r="E51" s="8">
        <v>7237.2761650000011</v>
      </c>
      <c r="F51" s="8">
        <v>0</v>
      </c>
      <c r="G51" s="8">
        <v>683</v>
      </c>
    </row>
    <row r="52" spans="1:7" x14ac:dyDescent="0.25">
      <c r="A52" s="18" t="s">
        <v>192</v>
      </c>
      <c r="B52" s="11"/>
      <c r="C52" s="9" t="s">
        <v>152</v>
      </c>
      <c r="D52" s="16"/>
      <c r="E52" s="16">
        <f>SUM(E53:E54)</f>
        <v>10542.777995</v>
      </c>
      <c r="F52" s="16"/>
      <c r="G52" s="16">
        <f t="shared" ref="G52" si="6">SUM(G53:G54)</f>
        <v>2254</v>
      </c>
    </row>
    <row r="53" spans="1:7" x14ac:dyDescent="0.25">
      <c r="A53" s="17" t="s">
        <v>193</v>
      </c>
      <c r="B53" s="6" t="str">
        <f t="shared" ref="B53:B54" si="7">MID(A53,2,2)</f>
        <v>41</v>
      </c>
      <c r="C53" s="6" t="s">
        <v>152</v>
      </c>
      <c r="D53" s="8"/>
      <c r="E53" s="8">
        <v>526.68308249999995</v>
      </c>
      <c r="F53" s="8">
        <v>0</v>
      </c>
      <c r="G53" s="8">
        <v>279</v>
      </c>
    </row>
    <row r="54" spans="1:7" x14ac:dyDescent="0.25">
      <c r="A54" s="17" t="s">
        <v>194</v>
      </c>
      <c r="B54" s="6" t="str">
        <f t="shared" si="7"/>
        <v>49</v>
      </c>
      <c r="C54" s="6" t="s">
        <v>152</v>
      </c>
      <c r="D54" s="8"/>
      <c r="E54" s="8">
        <v>10016.094912500001</v>
      </c>
      <c r="F54" s="8">
        <v>0</v>
      </c>
      <c r="G54" s="8">
        <v>1975</v>
      </c>
    </row>
    <row r="55" spans="1:7" x14ac:dyDescent="0.25">
      <c r="A55" s="18" t="s">
        <v>195</v>
      </c>
      <c r="B55" s="11"/>
      <c r="C55" s="9" t="s">
        <v>152</v>
      </c>
      <c r="D55" s="16"/>
      <c r="E55" s="16">
        <f>SUM(E56:E58)</f>
        <v>3468.3032424999997</v>
      </c>
      <c r="F55" s="16"/>
      <c r="G55" s="16">
        <f t="shared" ref="G55" si="8">SUM(G56:G58)</f>
        <v>230</v>
      </c>
    </row>
    <row r="56" spans="1:7" x14ac:dyDescent="0.25">
      <c r="A56" s="17" t="s">
        <v>196</v>
      </c>
      <c r="B56" s="6" t="str">
        <f t="shared" ref="B56:B58" si="9">MID(A56,2,2)</f>
        <v>50</v>
      </c>
      <c r="C56" s="6" t="s">
        <v>152</v>
      </c>
      <c r="D56" s="8"/>
      <c r="E56" s="8">
        <v>411.31018999999998</v>
      </c>
      <c r="F56" s="8">
        <v>0</v>
      </c>
      <c r="G56" s="8">
        <v>0</v>
      </c>
    </row>
    <row r="57" spans="1:7" x14ac:dyDescent="0.25">
      <c r="A57" s="17" t="s">
        <v>197</v>
      </c>
      <c r="B57" s="6" t="str">
        <f t="shared" si="9"/>
        <v>51</v>
      </c>
      <c r="C57" s="6" t="s">
        <v>152</v>
      </c>
      <c r="D57" s="8"/>
      <c r="E57" s="8">
        <v>1034.3240599999999</v>
      </c>
      <c r="F57" s="8">
        <v>0</v>
      </c>
      <c r="G57" s="8">
        <v>33</v>
      </c>
    </row>
    <row r="58" spans="1:7" x14ac:dyDescent="0.25">
      <c r="A58" s="17" t="s">
        <v>198</v>
      </c>
      <c r="B58" s="6" t="str">
        <f t="shared" si="9"/>
        <v>52</v>
      </c>
      <c r="C58" s="6" t="s">
        <v>152</v>
      </c>
      <c r="D58" s="8"/>
      <c r="E58" s="8">
        <v>2022.6689924999998</v>
      </c>
      <c r="F58" s="8">
        <v>0</v>
      </c>
      <c r="G58" s="8">
        <v>197</v>
      </c>
    </row>
    <row r="59" spans="1:7" x14ac:dyDescent="0.25">
      <c r="A59" s="6" t="s">
        <v>155</v>
      </c>
      <c r="B59" s="6"/>
      <c r="C59" s="6"/>
      <c r="D59" s="6" t="s">
        <v>394</v>
      </c>
      <c r="E59" s="6" t="s">
        <v>394</v>
      </c>
      <c r="F59" s="6" t="s">
        <v>395</v>
      </c>
      <c r="G59" s="6" t="s">
        <v>395</v>
      </c>
    </row>
    <row r="60" spans="1:7" x14ac:dyDescent="0.25">
      <c r="A60" s="11" t="s">
        <v>325</v>
      </c>
      <c r="B60" s="11"/>
      <c r="C60" s="11" t="s">
        <v>391</v>
      </c>
      <c r="D60" s="11"/>
      <c r="E60" s="11"/>
      <c r="F60" s="11"/>
      <c r="G60" s="11"/>
    </row>
    <row r="61" spans="1:7" x14ac:dyDescent="0.25">
      <c r="A61" s="11" t="s">
        <v>326</v>
      </c>
      <c r="B61" s="11"/>
      <c r="C61" s="11" t="s">
        <v>392</v>
      </c>
      <c r="D61" s="11"/>
      <c r="E61" s="11"/>
      <c r="F61" s="11"/>
      <c r="G61" s="11"/>
    </row>
    <row r="62" spans="1:7" x14ac:dyDescent="0.25">
      <c r="A62" s="12" t="s">
        <v>393</v>
      </c>
      <c r="B62" s="13"/>
      <c r="C62" s="13"/>
      <c r="D62" s="13"/>
      <c r="E62" s="13"/>
      <c r="F62" s="13"/>
      <c r="G62" s="13"/>
    </row>
    <row r="63" spans="1:7" x14ac:dyDescent="0.25">
      <c r="A63" s="13" t="s">
        <v>396</v>
      </c>
      <c r="B63" s="13"/>
      <c r="C63" s="13"/>
      <c r="D63" s="13"/>
      <c r="E63" s="13"/>
      <c r="F63" s="13"/>
      <c r="G63" s="13"/>
    </row>
  </sheetData>
  <conditionalFormatting sqref="A10:B10 D10:G10 A1:G9">
    <cfRule type="expression" dxfId="21" priority="25">
      <formula>MOD(ROW(),2)=0</formula>
    </cfRule>
  </conditionalFormatting>
  <conditionalFormatting sqref="B14:C15 A16:E41 A52:E52 A42:D51 A55:E55 A53:D54 A56:D58">
    <cfRule type="expression" dxfId="20" priority="24">
      <formula>MOD(ROW(),2)=0</formula>
    </cfRule>
  </conditionalFormatting>
  <conditionalFormatting sqref="A59:C59 E60:G61">
    <cfRule type="expression" dxfId="19" priority="23">
      <formula>MOD(ROW(),2)=0</formula>
    </cfRule>
  </conditionalFormatting>
  <conditionalFormatting sqref="A14:A15">
    <cfRule type="expression" dxfId="18" priority="22">
      <formula>MOD(ROW(),2)=0</formula>
    </cfRule>
  </conditionalFormatting>
  <conditionalFormatting sqref="D14 F14:G14">
    <cfRule type="expression" dxfId="17" priority="21">
      <formula>MOD(ROW(),2)=0</formula>
    </cfRule>
  </conditionalFormatting>
  <conditionalFormatting sqref="C10">
    <cfRule type="expression" dxfId="16" priority="20">
      <formula>MOD(ROW(),2)=0</formula>
    </cfRule>
  </conditionalFormatting>
  <conditionalFormatting sqref="F18:G18 G16:G17 F41:G41 G38:G40 F37:G37 G34:G36 F33:G33 G32 F31:G31 G30 F29:G29 G19:G28 F52:G52 F42:F51 F55:G55 F53:F54 F56:F58">
    <cfRule type="expression" dxfId="15" priority="19">
      <formula>MOD(ROW(),2)=0</formula>
    </cfRule>
  </conditionalFormatting>
  <conditionalFormatting sqref="D60:D61">
    <cfRule type="expression" dxfId="14" priority="18">
      <formula>MOD(ROW(),2)=0</formula>
    </cfRule>
  </conditionalFormatting>
  <conditionalFormatting sqref="E14">
    <cfRule type="expression" dxfId="13" priority="16">
      <formula>MOD(ROW(),2)=0</formula>
    </cfRule>
  </conditionalFormatting>
  <conditionalFormatting sqref="F38:F40">
    <cfRule type="expression" dxfId="12" priority="14">
      <formula>MOD(ROW(),2)=0</formula>
    </cfRule>
  </conditionalFormatting>
  <conditionalFormatting sqref="F34:F36">
    <cfRule type="expression" dxfId="11" priority="13">
      <formula>MOD(ROW(),2)=0</formula>
    </cfRule>
  </conditionalFormatting>
  <conditionalFormatting sqref="F32">
    <cfRule type="expression" dxfId="10" priority="12">
      <formula>MOD(ROW(),2)=0</formula>
    </cfRule>
  </conditionalFormatting>
  <conditionalFormatting sqref="F30">
    <cfRule type="expression" dxfId="9" priority="11">
      <formula>MOD(ROW(),2)=0</formula>
    </cfRule>
  </conditionalFormatting>
  <conditionalFormatting sqref="F19:F28">
    <cfRule type="expression" dxfId="8" priority="10">
      <formula>MOD(ROW(),2)=0</formula>
    </cfRule>
  </conditionalFormatting>
  <conditionalFormatting sqref="G56:G58 G53:G54 G42:G51">
    <cfRule type="expression" dxfId="7" priority="9">
      <formula>MOD(ROW(),2)=0</formula>
    </cfRule>
  </conditionalFormatting>
  <conditionalFormatting sqref="E56:E58 E53:E54 E42:E51">
    <cfRule type="expression" dxfId="6" priority="8">
      <formula>MOD(ROW(),2)=0</formula>
    </cfRule>
  </conditionalFormatting>
  <conditionalFormatting sqref="F16">
    <cfRule type="expression" dxfId="5" priority="7">
      <formula>MOD(ROW(),2)=0</formula>
    </cfRule>
  </conditionalFormatting>
  <conditionalFormatting sqref="A60:B61">
    <cfRule type="expression" dxfId="4" priority="6">
      <formula>MOD(ROW(),2)=0</formula>
    </cfRule>
  </conditionalFormatting>
  <conditionalFormatting sqref="F17">
    <cfRule type="expression" dxfId="3" priority="4">
      <formula>MOD(ROW(),2)=0</formula>
    </cfRule>
  </conditionalFormatting>
  <conditionalFormatting sqref="D59:G59">
    <cfRule type="expression" dxfId="2" priority="3">
      <formula>MOD(ROW(),2)=0</formula>
    </cfRule>
  </conditionalFormatting>
  <conditionalFormatting sqref="C60">
    <cfRule type="expression" dxfId="1" priority="2">
      <formula>MOD(ROW(),2)=0</formula>
    </cfRule>
  </conditionalFormatting>
  <conditionalFormatting sqref="C61">
    <cfRule type="expression" dxfId="0" priority="1">
      <formula>MOD(ROW(),2)=0</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EB13E-9505-428A-815F-CF72F344CB49}">
  <sheetPr codeName="Sheet28"/>
  <dimension ref="A1:A22"/>
  <sheetViews>
    <sheetView workbookViewId="0"/>
  </sheetViews>
  <sheetFormatPr defaultRowHeight="15" x14ac:dyDescent="0.25"/>
  <sheetData>
    <row r="1" spans="1:1" x14ac:dyDescent="0.25">
      <c r="A1" s="13" t="s">
        <v>291</v>
      </c>
    </row>
    <row r="2" spans="1:1" x14ac:dyDescent="0.25">
      <c r="A2" s="13" t="s">
        <v>321</v>
      </c>
    </row>
    <row r="3" spans="1:1" x14ac:dyDescent="0.25">
      <c r="A3" s="13" t="s">
        <v>293</v>
      </c>
    </row>
    <row r="4" spans="1:1" x14ac:dyDescent="0.25">
      <c r="A4" s="13" t="s">
        <v>404</v>
      </c>
    </row>
    <row r="5" spans="1:1" x14ac:dyDescent="0.25">
      <c r="A5" s="13" t="s">
        <v>294</v>
      </c>
    </row>
    <row r="6" spans="1:1" x14ac:dyDescent="0.25">
      <c r="A6" s="13" t="s">
        <v>280</v>
      </c>
    </row>
    <row r="7" spans="1:1" x14ac:dyDescent="0.25">
      <c r="A7" s="13" t="s">
        <v>281</v>
      </c>
    </row>
    <row r="8" spans="1:1" x14ac:dyDescent="0.25">
      <c r="A8" s="13" t="s">
        <v>268</v>
      </c>
    </row>
    <row r="9" spans="1:1" x14ac:dyDescent="0.25">
      <c r="A9" s="13" t="s">
        <v>269</v>
      </c>
    </row>
    <row r="10" spans="1:1" x14ac:dyDescent="0.25">
      <c r="A10" s="13" t="s">
        <v>320</v>
      </c>
    </row>
    <row r="11" spans="1:1" x14ac:dyDescent="0.25">
      <c r="A11" s="13" t="s">
        <v>279</v>
      </c>
    </row>
    <row r="12" spans="1:1" x14ac:dyDescent="0.25">
      <c r="A12" s="12" t="s">
        <v>393</v>
      </c>
    </row>
    <row r="13" spans="1:1" x14ac:dyDescent="0.25">
      <c r="A13" s="13" t="s">
        <v>396</v>
      </c>
    </row>
    <row r="14" spans="1:1" x14ac:dyDescent="0.25">
      <c r="A14" s="13" t="s">
        <v>308</v>
      </c>
    </row>
    <row r="15" spans="1:1" x14ac:dyDescent="0.25">
      <c r="A15" s="13" t="s">
        <v>295</v>
      </c>
    </row>
    <row r="16" spans="1:1" x14ac:dyDescent="0.25">
      <c r="A16" s="13" t="s">
        <v>316</v>
      </c>
    </row>
    <row r="17" spans="1:1" x14ac:dyDescent="0.25">
      <c r="A17" s="13" t="s">
        <v>317</v>
      </c>
    </row>
    <row r="18" spans="1:1" x14ac:dyDescent="0.25">
      <c r="A18" s="13" t="s">
        <v>271</v>
      </c>
    </row>
    <row r="19" spans="1:1" x14ac:dyDescent="0.25">
      <c r="A19" s="13" t="s">
        <v>296</v>
      </c>
    </row>
    <row r="20" spans="1:1" x14ac:dyDescent="0.25">
      <c r="A20" s="13" t="s">
        <v>310</v>
      </c>
    </row>
    <row r="21" spans="1:1" x14ac:dyDescent="0.25">
      <c r="A21" s="13" t="s">
        <v>381</v>
      </c>
    </row>
    <row r="22" spans="1:1" x14ac:dyDescent="0.25">
      <c r="A22" s="27" t="s">
        <v>322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E9317-CADC-41BC-8515-B4C82B609F69}">
  <sheetPr codeName="Sheet3"/>
  <dimension ref="A1:M22"/>
  <sheetViews>
    <sheetView workbookViewId="0">
      <selection activeCell="A22" sqref="A22"/>
    </sheetView>
  </sheetViews>
  <sheetFormatPr defaultRowHeight="15" x14ac:dyDescent="0.25"/>
  <cols>
    <col min="1" max="1" width="25.28515625" customWidth="1"/>
    <col min="2" max="2" width="11.5703125" bestFit="1" customWidth="1"/>
    <col min="3" max="3" width="9.85546875" bestFit="1" customWidth="1"/>
    <col min="4" max="8" width="10.140625" customWidth="1"/>
    <col min="9" max="11" width="11.7109375" customWidth="1"/>
  </cols>
  <sheetData>
    <row r="1" spans="1:13" x14ac:dyDescent="0.25">
      <c r="A1" s="124" t="s">
        <v>8</v>
      </c>
      <c r="B1" s="124"/>
      <c r="C1" s="124"/>
      <c r="D1" s="124"/>
      <c r="E1" s="124"/>
      <c r="F1" s="124"/>
      <c r="G1" s="124"/>
      <c r="H1" s="124"/>
      <c r="I1" s="124"/>
      <c r="J1" s="124"/>
      <c r="K1" s="124"/>
      <c r="L1" s="124"/>
      <c r="M1" s="124"/>
    </row>
    <row r="2" spans="1:13" x14ac:dyDescent="0.25">
      <c r="A2" s="118" t="s">
        <v>52</v>
      </c>
      <c r="B2" s="119" t="s">
        <v>53</v>
      </c>
      <c r="C2" s="120" t="s">
        <v>44</v>
      </c>
      <c r="D2" s="119" t="str">
        <f>+'Gross Value of Production'!C1</f>
        <v>2018-19</v>
      </c>
      <c r="E2" s="119" t="str">
        <f>+'Gross Value of Production'!D1</f>
        <v>2019-20</v>
      </c>
      <c r="F2" s="119" t="str">
        <f>+'Gross Value of Production'!E1</f>
        <v>2020-21</v>
      </c>
      <c r="G2" s="119" t="str">
        <f>+'Gross Value of Production'!F1</f>
        <v>2021-22s</v>
      </c>
      <c r="H2" s="119" t="str">
        <f>+'Gross Value of Production'!G1</f>
        <v>2022-23e</v>
      </c>
      <c r="I2" s="121" t="s">
        <v>47</v>
      </c>
      <c r="J2" s="121" t="s">
        <v>65</v>
      </c>
      <c r="K2" s="121" t="s">
        <v>49</v>
      </c>
      <c r="L2" s="122" t="s">
        <v>50</v>
      </c>
      <c r="M2" s="123" t="s">
        <v>51</v>
      </c>
    </row>
    <row r="3" spans="1:13" x14ac:dyDescent="0.25">
      <c r="A3" s="98" t="s">
        <v>315</v>
      </c>
      <c r="B3" s="76"/>
      <c r="C3" s="99" t="s">
        <v>45</v>
      </c>
      <c r="D3" s="78">
        <v>327.2515047</v>
      </c>
      <c r="E3" s="78">
        <v>284.46834302999997</v>
      </c>
      <c r="F3" s="78">
        <v>938.34993312000006</v>
      </c>
      <c r="G3" s="78">
        <v>964.89864478847949</v>
      </c>
      <c r="H3" s="78">
        <v>646.53722950475458</v>
      </c>
      <c r="I3" s="93">
        <f t="shared" ref="I3:I19" si="0">IF(ISBLANK(H3),"N/A",IF(ISNA(H3/G3-1),"N/A",IF(ISERROR(H3/G3-1),"N/A",H3/G3-1)))</f>
        <v>-0.32994285669611922</v>
      </c>
      <c r="J3" s="94">
        <f t="shared" ref="J3:J19" si="1">IF(ISBLANK(H3),"",IF(ISNA(AVERAGE(D3:H3)),"N/A",IF(ISERROR(AVERAGE(D3:H3)),"N/A",AVERAGE(D3:H3))))</f>
        <v>632.30113102864675</v>
      </c>
      <c r="K3" s="93">
        <f t="shared" ref="K3:K19" si="2">IF(ISBLANK(H3),"",IF(ISNA(H3/AVERAGE(D3:H3)-1),"N/A",IF(ISERROR(H3/AVERAGE(D3:H3)-1),"N/A",H3/AVERAGE(D3:H3)-1)))</f>
        <v>2.2514744601117576E-2</v>
      </c>
      <c r="L3" s="95" t="s">
        <v>352</v>
      </c>
      <c r="M3" s="97" t="s">
        <v>353</v>
      </c>
    </row>
    <row r="4" spans="1:13" x14ac:dyDescent="0.25">
      <c r="A4" s="98" t="s">
        <v>54</v>
      </c>
      <c r="B4" s="86"/>
      <c r="C4" s="100" t="s">
        <v>55</v>
      </c>
      <c r="D4" s="106">
        <v>667.93100000000004</v>
      </c>
      <c r="E4" s="106">
        <v>885.40300000000002</v>
      </c>
      <c r="F4" s="106">
        <v>1370.9349999999999</v>
      </c>
      <c r="G4" s="106">
        <v>1158.588</v>
      </c>
      <c r="H4" s="106">
        <v>780</v>
      </c>
      <c r="I4" s="93">
        <f t="shared" si="0"/>
        <v>-0.32676671948958558</v>
      </c>
      <c r="J4" s="94">
        <f t="shared" si="1"/>
        <v>972.57140000000004</v>
      </c>
      <c r="K4" s="93">
        <f t="shared" si="2"/>
        <v>-0.19800232661581452</v>
      </c>
      <c r="L4" s="95" t="s">
        <v>355</v>
      </c>
      <c r="M4" s="97" t="s">
        <v>354</v>
      </c>
    </row>
    <row r="5" spans="1:13" x14ac:dyDescent="0.25">
      <c r="A5" s="98" t="s">
        <v>56</v>
      </c>
      <c r="B5" s="86"/>
      <c r="C5" s="99" t="s">
        <v>57</v>
      </c>
      <c r="D5" s="84">
        <f>+D6/D4</f>
        <v>1.3610522643806022</v>
      </c>
      <c r="E5" s="84">
        <f t="shared" ref="E5:H5" si="3">+E6/E4</f>
        <v>1.0348959739237387</v>
      </c>
      <c r="F5" s="84">
        <f t="shared" si="3"/>
        <v>3.1059007173936042</v>
      </c>
      <c r="G5" s="84">
        <f t="shared" si="3"/>
        <v>3.0741894443926574</v>
      </c>
      <c r="H5" s="84">
        <f t="shared" si="3"/>
        <v>2.92</v>
      </c>
      <c r="I5" s="93">
        <f t="shared" si="0"/>
        <v>-5.0156129666602101E-2</v>
      </c>
      <c r="J5" s="94">
        <f t="shared" si="1"/>
        <v>2.2992076800181205</v>
      </c>
      <c r="K5" s="93">
        <f t="shared" si="2"/>
        <v>0.27000271675196696</v>
      </c>
      <c r="L5" s="95" t="s">
        <v>355</v>
      </c>
      <c r="M5" s="97" t="s">
        <v>354</v>
      </c>
    </row>
    <row r="6" spans="1:13" x14ac:dyDescent="0.25">
      <c r="A6" s="98" t="s">
        <v>58</v>
      </c>
      <c r="B6" s="76"/>
      <c r="C6" s="100" t="s">
        <v>59</v>
      </c>
      <c r="D6" s="106">
        <v>909.08900000000006</v>
      </c>
      <c r="E6" s="106">
        <v>916.3</v>
      </c>
      <c r="F6" s="106">
        <v>4257.9880000000003</v>
      </c>
      <c r="G6" s="106">
        <v>3561.7190000000001</v>
      </c>
      <c r="H6" s="106">
        <v>2277.6</v>
      </c>
      <c r="I6" s="93">
        <f t="shared" si="0"/>
        <v>-0.36053349520273781</v>
      </c>
      <c r="J6" s="94">
        <f t="shared" si="1"/>
        <v>2384.5392000000002</v>
      </c>
      <c r="K6" s="93">
        <f t="shared" si="2"/>
        <v>-4.4846903753983258E-2</v>
      </c>
      <c r="L6" s="95" t="s">
        <v>355</v>
      </c>
      <c r="M6" s="97" t="s">
        <v>354</v>
      </c>
    </row>
    <row r="7" spans="1:13" x14ac:dyDescent="0.25">
      <c r="A7" s="98" t="s">
        <v>60</v>
      </c>
      <c r="B7" s="76"/>
      <c r="C7" s="99" t="s">
        <v>61</v>
      </c>
      <c r="D7" s="78">
        <v>341.726</v>
      </c>
      <c r="E7" s="78">
        <v>296.86599999999999</v>
      </c>
      <c r="F7" s="78">
        <v>254.52799999999999</v>
      </c>
      <c r="G7" s="78">
        <v>303.08699999999999</v>
      </c>
      <c r="H7" s="78">
        <v>317.58600000000001</v>
      </c>
      <c r="I7" s="93">
        <f t="shared" si="0"/>
        <v>4.7837749557057885E-2</v>
      </c>
      <c r="J7" s="94">
        <f t="shared" si="1"/>
        <v>302.7586</v>
      </c>
      <c r="K7" s="93">
        <f t="shared" si="2"/>
        <v>4.897433136498841E-2</v>
      </c>
      <c r="L7" s="107" t="s">
        <v>357</v>
      </c>
      <c r="M7" s="97" t="s">
        <v>356</v>
      </c>
    </row>
    <row r="8" spans="1:13" x14ac:dyDescent="0.25">
      <c r="A8" s="161" t="s">
        <v>319</v>
      </c>
      <c r="B8" s="76" t="s">
        <v>63</v>
      </c>
      <c r="C8" s="99" t="s">
        <v>45</v>
      </c>
      <c r="D8" s="78">
        <v>0.21820300000000001</v>
      </c>
      <c r="E8" s="78">
        <v>0.50099199999999999</v>
      </c>
      <c r="F8" s="78">
        <v>48.929844000000003</v>
      </c>
      <c r="G8" s="78">
        <v>241.25100699999999</v>
      </c>
      <c r="H8" s="78">
        <v>54.396723999999999</v>
      </c>
      <c r="I8" s="93">
        <f t="shared" ref="I8:I13" si="4">IF(ISBLANK(H8),"N/A",IF(ISNA(H8/G8-1),"N/A",IF(ISERROR(H8/G8-1),"N/A",H8/G8-1)))</f>
        <v>-0.77452229246031701</v>
      </c>
      <c r="J8" s="94">
        <f t="shared" ref="J8:J13" si="5">IF(ISBLANK(H8),"",IF(ISNA(AVERAGE(D8:H8)),"N/A",IF(ISERROR(AVERAGE(D8:H8)),"N/A",AVERAGE(D8:H8))))</f>
        <v>69.059353999999999</v>
      </c>
      <c r="K8" s="93">
        <f t="shared" ref="K8:K13" si="6">IF(ISBLANK(H8),"",IF(ISNA(H8/AVERAGE(D8:H8)-1),"N/A",IF(ISERROR(H8/AVERAGE(D8:H8)-1),"N/A",H8/AVERAGE(D8:H8)-1)))</f>
        <v>-0.21231924642677658</v>
      </c>
      <c r="L8" s="95" t="s">
        <v>346</v>
      </c>
      <c r="M8" s="97" t="s">
        <v>345</v>
      </c>
    </row>
    <row r="9" spans="1:13" x14ac:dyDescent="0.25">
      <c r="A9" s="161"/>
      <c r="B9" s="78" t="s">
        <v>407</v>
      </c>
      <c r="C9" s="99" t="s">
        <v>45</v>
      </c>
      <c r="D9" s="78">
        <v>0</v>
      </c>
      <c r="E9" s="78">
        <v>0</v>
      </c>
      <c r="F9" s="78">
        <v>7.5123930000000003</v>
      </c>
      <c r="G9" s="78">
        <v>108.20795200000001</v>
      </c>
      <c r="H9" s="78">
        <v>30.861560999999998</v>
      </c>
      <c r="I9" s="93">
        <f t="shared" si="4"/>
        <v>-0.71479396449532651</v>
      </c>
      <c r="J9" s="94">
        <f t="shared" si="5"/>
        <v>29.316381200000002</v>
      </c>
      <c r="K9" s="93">
        <f t="shared" si="6"/>
        <v>5.2707044210490661E-2</v>
      </c>
      <c r="L9" s="95" t="s">
        <v>346</v>
      </c>
      <c r="M9" s="97" t="s">
        <v>345</v>
      </c>
    </row>
    <row r="10" spans="1:13" x14ac:dyDescent="0.25">
      <c r="A10" s="161"/>
      <c r="B10" s="78" t="s">
        <v>331</v>
      </c>
      <c r="C10" s="99" t="s">
        <v>45</v>
      </c>
      <c r="D10" s="78">
        <v>0</v>
      </c>
      <c r="E10" s="78">
        <v>0.27900000000000003</v>
      </c>
      <c r="F10" s="78">
        <v>4.846241</v>
      </c>
      <c r="G10" s="78">
        <v>29.011966999999999</v>
      </c>
      <c r="H10" s="78">
        <v>14.829221</v>
      </c>
      <c r="I10" s="93">
        <f t="shared" si="4"/>
        <v>-0.48885847691747331</v>
      </c>
      <c r="J10" s="94">
        <f t="shared" si="5"/>
        <v>9.7932858000000014</v>
      </c>
      <c r="K10" s="93">
        <f t="shared" si="6"/>
        <v>0.51422324466421654</v>
      </c>
      <c r="L10" s="95" t="s">
        <v>346</v>
      </c>
      <c r="M10" s="97" t="s">
        <v>345</v>
      </c>
    </row>
    <row r="11" spans="1:13" x14ac:dyDescent="0.25">
      <c r="A11" s="161"/>
      <c r="B11" s="78" t="s">
        <v>408</v>
      </c>
      <c r="C11" s="99" t="s">
        <v>45</v>
      </c>
      <c r="D11" s="78">
        <v>0</v>
      </c>
      <c r="E11" s="78">
        <v>0</v>
      </c>
      <c r="F11" s="78">
        <v>23.701777</v>
      </c>
      <c r="G11" s="78">
        <v>15.186493</v>
      </c>
      <c r="H11" s="78">
        <v>0</v>
      </c>
      <c r="I11" s="93">
        <f t="shared" si="4"/>
        <v>-1</v>
      </c>
      <c r="J11" s="94">
        <f t="shared" si="5"/>
        <v>7.7776540000000001</v>
      </c>
      <c r="K11" s="93">
        <f t="shared" si="6"/>
        <v>-1</v>
      </c>
      <c r="L11" s="95" t="s">
        <v>346</v>
      </c>
      <c r="M11" s="97" t="s">
        <v>345</v>
      </c>
    </row>
    <row r="12" spans="1:13" x14ac:dyDescent="0.25">
      <c r="A12" s="98" t="s">
        <v>256</v>
      </c>
      <c r="B12" s="76" t="s">
        <v>63</v>
      </c>
      <c r="C12" s="99" t="s">
        <v>45</v>
      </c>
      <c r="D12" s="78">
        <v>0.13936525</v>
      </c>
      <c r="E12" s="78">
        <v>0.12676381</v>
      </c>
      <c r="F12" s="78">
        <v>7.9234540000000006E-2</v>
      </c>
      <c r="G12" s="78">
        <v>2.9418389999999999E-2</v>
      </c>
      <c r="H12" s="78">
        <v>1.2190290000000001E-2</v>
      </c>
      <c r="I12" s="93">
        <f t="shared" si="4"/>
        <v>-0.58562348245434226</v>
      </c>
      <c r="J12" s="94">
        <f t="shared" si="5"/>
        <v>7.7394456000000014E-2</v>
      </c>
      <c r="K12" s="93">
        <f t="shared" si="6"/>
        <v>-0.84249143116917835</v>
      </c>
      <c r="L12" s="95" t="s">
        <v>346</v>
      </c>
      <c r="M12" s="97" t="s">
        <v>345</v>
      </c>
    </row>
    <row r="13" spans="1:13" x14ac:dyDescent="0.25">
      <c r="A13" s="98" t="s">
        <v>301</v>
      </c>
      <c r="B13" s="76" t="s">
        <v>63</v>
      </c>
      <c r="C13" s="99" t="s">
        <v>45</v>
      </c>
      <c r="D13" s="78">
        <f>+D8-D12</f>
        <v>7.8837750000000012E-2</v>
      </c>
      <c r="E13" s="78">
        <f t="shared" ref="E13:H13" si="7">+E8-E12</f>
        <v>0.37422818999999996</v>
      </c>
      <c r="F13" s="78">
        <f t="shared" si="7"/>
        <v>48.850609460000001</v>
      </c>
      <c r="G13" s="78">
        <f t="shared" si="7"/>
        <v>241.22158861</v>
      </c>
      <c r="H13" s="78">
        <f t="shared" si="7"/>
        <v>54.384533709999999</v>
      </c>
      <c r="I13" s="93">
        <f t="shared" si="4"/>
        <v>-0.77454532978004997</v>
      </c>
      <c r="J13" s="94">
        <f t="shared" si="5"/>
        <v>68.981959544000006</v>
      </c>
      <c r="K13" s="93">
        <f t="shared" si="6"/>
        <v>-0.21161222340587571</v>
      </c>
      <c r="L13" s="95" t="s">
        <v>346</v>
      </c>
      <c r="M13" s="97" t="s">
        <v>345</v>
      </c>
    </row>
    <row r="14" spans="1:13" ht="13.9" customHeight="1" x14ac:dyDescent="0.25">
      <c r="A14" s="161" t="s">
        <v>318</v>
      </c>
      <c r="B14" s="86" t="s">
        <v>63</v>
      </c>
      <c r="C14" s="99" t="s">
        <v>45</v>
      </c>
      <c r="D14" s="78">
        <v>1381.8322780000001</v>
      </c>
      <c r="E14" s="78">
        <v>1027.6316609999999</v>
      </c>
      <c r="F14" s="78">
        <v>1910.023441</v>
      </c>
      <c r="G14" s="78">
        <v>2976.7773440000001</v>
      </c>
      <c r="H14" s="78">
        <v>3331.6827739999999</v>
      </c>
      <c r="I14" s="93">
        <f t="shared" si="0"/>
        <v>0.11922471484652619</v>
      </c>
      <c r="J14" s="94">
        <f t="shared" si="1"/>
        <v>2125.5894996000002</v>
      </c>
      <c r="K14" s="93">
        <f t="shared" si="2"/>
        <v>0.56741589786125957</v>
      </c>
      <c r="L14" s="95" t="s">
        <v>346</v>
      </c>
      <c r="M14" s="97" t="s">
        <v>345</v>
      </c>
    </row>
    <row r="15" spans="1:13" x14ac:dyDescent="0.25">
      <c r="A15" s="161"/>
      <c r="B15" s="88" t="s">
        <v>407</v>
      </c>
      <c r="C15" s="99" t="s">
        <v>45</v>
      </c>
      <c r="D15" s="78">
        <v>23.448276</v>
      </c>
      <c r="E15" s="78">
        <v>0</v>
      </c>
      <c r="F15" s="78">
        <v>720.89039400000001</v>
      </c>
      <c r="G15" s="78">
        <v>1031.433824</v>
      </c>
      <c r="H15" s="78">
        <v>1151.696246</v>
      </c>
      <c r="I15" s="93">
        <f t="shared" si="0"/>
        <v>0.11659732229219588</v>
      </c>
      <c r="J15" s="94">
        <f t="shared" si="1"/>
        <v>585.49374799999998</v>
      </c>
      <c r="K15" s="93">
        <f t="shared" si="2"/>
        <v>0.96705131341556183</v>
      </c>
      <c r="L15" s="95" t="s">
        <v>346</v>
      </c>
      <c r="M15" s="97" t="s">
        <v>345</v>
      </c>
    </row>
    <row r="16" spans="1:13" x14ac:dyDescent="0.25">
      <c r="A16" s="161"/>
      <c r="B16" s="88" t="s">
        <v>331</v>
      </c>
      <c r="C16" s="99" t="s">
        <v>45</v>
      </c>
      <c r="D16" s="78">
        <v>225.58127999999999</v>
      </c>
      <c r="E16" s="78">
        <v>162.34304299999999</v>
      </c>
      <c r="F16" s="78">
        <v>258.93971599999998</v>
      </c>
      <c r="G16" s="78">
        <v>454.00115599999998</v>
      </c>
      <c r="H16" s="78">
        <v>551.99873200000002</v>
      </c>
      <c r="I16" s="93">
        <f t="shared" si="0"/>
        <v>0.21585314201270456</v>
      </c>
      <c r="J16" s="94">
        <f t="shared" si="1"/>
        <v>330.57278539999999</v>
      </c>
      <c r="K16" s="93">
        <f t="shared" si="2"/>
        <v>0.66982509262542589</v>
      </c>
      <c r="L16" s="95" t="s">
        <v>346</v>
      </c>
      <c r="M16" s="97" t="s">
        <v>345</v>
      </c>
    </row>
    <row r="17" spans="1:13" x14ac:dyDescent="0.25">
      <c r="A17" s="161"/>
      <c r="B17" s="88" t="s">
        <v>330</v>
      </c>
      <c r="C17" s="99" t="s">
        <v>45</v>
      </c>
      <c r="D17" s="78">
        <v>916.29712300000006</v>
      </c>
      <c r="E17" s="78">
        <v>550.90780299999994</v>
      </c>
      <c r="F17" s="78">
        <v>63.463963</v>
      </c>
      <c r="G17" s="78">
        <v>0</v>
      </c>
      <c r="H17" s="78">
        <v>0</v>
      </c>
      <c r="I17" s="93" t="str">
        <f t="shared" si="0"/>
        <v>N/A</v>
      </c>
      <c r="J17" s="94">
        <f t="shared" si="1"/>
        <v>306.13377779999996</v>
      </c>
      <c r="K17" s="93">
        <f t="shared" si="2"/>
        <v>-1</v>
      </c>
      <c r="L17" s="95" t="s">
        <v>346</v>
      </c>
      <c r="M17" s="97" t="s">
        <v>345</v>
      </c>
    </row>
    <row r="18" spans="1:13" x14ac:dyDescent="0.25">
      <c r="A18" s="98" t="s">
        <v>248</v>
      </c>
      <c r="B18" s="86" t="s">
        <v>63</v>
      </c>
      <c r="C18" s="99" t="s">
        <v>45</v>
      </c>
      <c r="D18" s="78">
        <v>0.21274544999999997</v>
      </c>
      <c r="E18" s="78">
        <v>0.22972292999999999</v>
      </c>
      <c r="F18" s="78">
        <v>0.21142309000000004</v>
      </c>
      <c r="G18" s="78">
        <v>0.12532361</v>
      </c>
      <c r="H18" s="78">
        <v>7.0838009999999993E-2</v>
      </c>
      <c r="I18" s="93">
        <f t="shared" si="0"/>
        <v>-0.43475926044581714</v>
      </c>
      <c r="J18" s="94">
        <f t="shared" si="1"/>
        <v>0.170010618</v>
      </c>
      <c r="K18" s="93">
        <f t="shared" si="2"/>
        <v>-0.58333184813197958</v>
      </c>
      <c r="L18" s="95" t="s">
        <v>346</v>
      </c>
      <c r="M18" s="97" t="s">
        <v>345</v>
      </c>
    </row>
    <row r="19" spans="1:13" x14ac:dyDescent="0.25">
      <c r="A19" s="98" t="s">
        <v>301</v>
      </c>
      <c r="B19" s="86" t="s">
        <v>63</v>
      </c>
      <c r="C19" s="99" t="s">
        <v>45</v>
      </c>
      <c r="D19" s="78">
        <f>+D14-D18</f>
        <v>1381.61953255</v>
      </c>
      <c r="E19" s="78">
        <f t="shared" ref="E19:H19" si="8">+E14-E18</f>
        <v>1027.4019380699999</v>
      </c>
      <c r="F19" s="78">
        <f t="shared" si="8"/>
        <v>1909.8120179100001</v>
      </c>
      <c r="G19" s="78">
        <f t="shared" si="8"/>
        <v>2976.65202039</v>
      </c>
      <c r="H19" s="78">
        <f t="shared" si="8"/>
        <v>3331.6119359899999</v>
      </c>
      <c r="I19" s="93">
        <f t="shared" si="0"/>
        <v>0.11924803879275525</v>
      </c>
      <c r="J19" s="94">
        <f t="shared" si="1"/>
        <v>2125.4194889820001</v>
      </c>
      <c r="K19" s="93">
        <f t="shared" si="2"/>
        <v>0.56750794526012505</v>
      </c>
      <c r="L19" s="95" t="s">
        <v>346</v>
      </c>
      <c r="M19" s="97" t="s">
        <v>345</v>
      </c>
    </row>
    <row r="20" spans="1:13" x14ac:dyDescent="0.25">
      <c r="A20" s="13" t="s">
        <v>294</v>
      </c>
    </row>
    <row r="21" spans="1:13" x14ac:dyDescent="0.25">
      <c r="A21" s="13" t="s">
        <v>308</v>
      </c>
    </row>
    <row r="22" spans="1:13" x14ac:dyDescent="0.25">
      <c r="A22" s="13" t="s">
        <v>271</v>
      </c>
    </row>
  </sheetData>
  <mergeCells count="2">
    <mergeCell ref="A14:A17"/>
    <mergeCell ref="A8:A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CC11B-88FF-4FB0-9B56-08F9C8F8F721}">
  <sheetPr codeName="Sheet4"/>
  <dimension ref="A1:M21"/>
  <sheetViews>
    <sheetView workbookViewId="0">
      <selection activeCell="A21" sqref="A21"/>
    </sheetView>
  </sheetViews>
  <sheetFormatPr defaultRowHeight="15" x14ac:dyDescent="0.25"/>
  <cols>
    <col min="1" max="1" width="13.42578125" bestFit="1" customWidth="1"/>
    <col min="2" max="2" width="18.140625" bestFit="1" customWidth="1"/>
    <col min="3" max="3" width="10" bestFit="1" customWidth="1"/>
  </cols>
  <sheetData>
    <row r="1" spans="1:13" x14ac:dyDescent="0.25">
      <c r="A1" s="124" t="s">
        <v>9</v>
      </c>
      <c r="B1" s="124"/>
      <c r="C1" s="124"/>
      <c r="D1" s="124"/>
      <c r="E1" s="124"/>
      <c r="F1" s="124"/>
      <c r="G1" s="124"/>
      <c r="H1" s="124"/>
      <c r="I1" s="124"/>
      <c r="J1" s="124"/>
      <c r="K1" s="124"/>
      <c r="L1" s="124"/>
      <c r="M1" s="124"/>
    </row>
    <row r="2" spans="1:13" x14ac:dyDescent="0.25">
      <c r="A2" s="118" t="s">
        <v>52</v>
      </c>
      <c r="B2" s="119" t="s">
        <v>53</v>
      </c>
      <c r="C2" s="120" t="s">
        <v>44</v>
      </c>
      <c r="D2" s="119" t="str">
        <f>+'Gross Value of Production'!C1</f>
        <v>2018-19</v>
      </c>
      <c r="E2" s="119" t="str">
        <f>+'Gross Value of Production'!D1</f>
        <v>2019-20</v>
      </c>
      <c r="F2" s="119" t="str">
        <f>+'Gross Value of Production'!E1</f>
        <v>2020-21</v>
      </c>
      <c r="G2" s="119" t="str">
        <f>+'Gross Value of Production'!F1</f>
        <v>2021-22s</v>
      </c>
      <c r="H2" s="119" t="str">
        <f>+'Gross Value of Production'!G1</f>
        <v>2022-23e</v>
      </c>
      <c r="I2" s="121" t="s">
        <v>47</v>
      </c>
      <c r="J2" s="121" t="s">
        <v>65</v>
      </c>
      <c r="K2" s="121" t="s">
        <v>49</v>
      </c>
      <c r="L2" s="122" t="s">
        <v>50</v>
      </c>
      <c r="M2" s="123" t="s">
        <v>51</v>
      </c>
    </row>
    <row r="3" spans="1:13" x14ac:dyDescent="0.25">
      <c r="A3" s="98" t="s">
        <v>315</v>
      </c>
      <c r="B3" s="76"/>
      <c r="C3" s="99" t="s">
        <v>45</v>
      </c>
      <c r="D3" s="78">
        <v>31.41166252</v>
      </c>
      <c r="E3" s="78">
        <v>35.48134992</v>
      </c>
      <c r="F3" s="78">
        <v>171.85360383000003</v>
      </c>
      <c r="G3" s="78">
        <v>272.6858424695842</v>
      </c>
      <c r="H3" s="78">
        <v>218.87463736808988</v>
      </c>
      <c r="I3" s="79">
        <f t="shared" ref="I3:I18" si="0">IF(ISBLANK(H3),"N/A",IF(ISNA(H3/G3-1),"N/A",IF(ISERROR(H3/G3-1),"N/A",H3/G3-1)))</f>
        <v>-0.19733772979980257</v>
      </c>
      <c r="J3" s="80">
        <f t="shared" ref="J3:J18" si="1">IF(ISBLANK(H3),"",IF(ISNA(AVERAGE(D3:H3)),"N/A",IF(ISERROR(AVERAGE(D3:H3)),"N/A",AVERAGE(D3:H3))))</f>
        <v>146.06141922153483</v>
      </c>
      <c r="K3" s="79">
        <f t="shared" ref="K3:K18" si="2">IF(ISBLANK(H3),"",IF(ISNA(H3/AVERAGE(D3:H3)-1),"N/A",IF(ISERROR(H3/AVERAGE(D3:H3)-1),"N/A",H3/AVERAGE(D3:H3)-1)))</f>
        <v>0.49851095884613783</v>
      </c>
      <c r="L3" s="95" t="s">
        <v>352</v>
      </c>
      <c r="M3" s="97" t="s">
        <v>353</v>
      </c>
    </row>
    <row r="4" spans="1:13" x14ac:dyDescent="0.25">
      <c r="A4" s="98" t="s">
        <v>54</v>
      </c>
      <c r="B4" s="86"/>
      <c r="C4" s="100" t="s">
        <v>55</v>
      </c>
      <c r="D4" s="106">
        <v>6.7480000000000002</v>
      </c>
      <c r="E4" s="106">
        <v>4.2469999999999999</v>
      </c>
      <c r="F4" s="106">
        <v>43.906999999999996</v>
      </c>
      <c r="G4" s="106">
        <v>61.597000000000001</v>
      </c>
      <c r="H4" s="106">
        <v>51</v>
      </c>
      <c r="I4" s="79">
        <f t="shared" si="0"/>
        <v>-0.17203759923372897</v>
      </c>
      <c r="J4" s="80">
        <f t="shared" si="1"/>
        <v>33.4998</v>
      </c>
      <c r="K4" s="79">
        <f t="shared" si="2"/>
        <v>0.52239714863969344</v>
      </c>
      <c r="L4" s="95" t="s">
        <v>355</v>
      </c>
      <c r="M4" s="97" t="s">
        <v>354</v>
      </c>
    </row>
    <row r="5" spans="1:13" x14ac:dyDescent="0.25">
      <c r="A5" s="98" t="s">
        <v>56</v>
      </c>
      <c r="B5" s="86"/>
      <c r="C5" s="99" t="s">
        <v>57</v>
      </c>
      <c r="D5" s="84">
        <f>+D6/D4</f>
        <v>9.0674273858921151</v>
      </c>
      <c r="E5" s="84">
        <f t="shared" ref="E5:H5" si="3">+E6/E4</f>
        <v>10.86131386861314</v>
      </c>
      <c r="F5" s="84">
        <f t="shared" si="3"/>
        <v>9.4934065183228196</v>
      </c>
      <c r="G5" s="84">
        <f t="shared" si="3"/>
        <v>11.127944542753704</v>
      </c>
      <c r="H5" s="84">
        <f t="shared" si="3"/>
        <v>10.098039215686274</v>
      </c>
      <c r="I5" s="79">
        <f t="shared" si="0"/>
        <v>-9.2551263453059196E-2</v>
      </c>
      <c r="J5" s="80">
        <f t="shared" si="1"/>
        <v>10.129626306253609</v>
      </c>
      <c r="K5" s="79">
        <f t="shared" si="2"/>
        <v>-3.1182878432380878E-3</v>
      </c>
      <c r="L5" s="95" t="s">
        <v>355</v>
      </c>
      <c r="M5" s="97" t="s">
        <v>354</v>
      </c>
    </row>
    <row r="6" spans="1:13" x14ac:dyDescent="0.25">
      <c r="A6" s="98" t="s">
        <v>58</v>
      </c>
      <c r="B6" s="76"/>
      <c r="C6" s="100" t="s">
        <v>59</v>
      </c>
      <c r="D6" s="106">
        <v>61.186999999999998</v>
      </c>
      <c r="E6" s="106">
        <v>46.128</v>
      </c>
      <c r="F6" s="106">
        <v>416.827</v>
      </c>
      <c r="G6" s="106">
        <v>685.44799999999998</v>
      </c>
      <c r="H6" s="106">
        <v>515</v>
      </c>
      <c r="I6" s="79">
        <f t="shared" si="0"/>
        <v>-0.24866656551627542</v>
      </c>
      <c r="J6" s="80">
        <f t="shared" si="1"/>
        <v>344.91800000000001</v>
      </c>
      <c r="K6" s="79">
        <f t="shared" si="2"/>
        <v>0.49310850694947783</v>
      </c>
      <c r="L6" s="95" t="s">
        <v>355</v>
      </c>
      <c r="M6" s="97" t="s">
        <v>354</v>
      </c>
    </row>
    <row r="7" spans="1:13" x14ac:dyDescent="0.25">
      <c r="A7" s="98" t="s">
        <v>60</v>
      </c>
      <c r="B7" s="76"/>
      <c r="C7" s="99" t="s">
        <v>61</v>
      </c>
      <c r="D7" s="78">
        <v>513.37</v>
      </c>
      <c r="E7" s="78">
        <v>769.2</v>
      </c>
      <c r="F7" s="78">
        <v>412.29</v>
      </c>
      <c r="G7" s="78">
        <v>397.822</v>
      </c>
      <c r="H7" s="78">
        <v>425</v>
      </c>
      <c r="I7" s="79">
        <f t="shared" si="0"/>
        <v>6.8316985988708501E-2</v>
      </c>
      <c r="J7" s="80">
        <f t="shared" si="1"/>
        <v>503.53640000000007</v>
      </c>
      <c r="K7" s="79">
        <f t="shared" si="2"/>
        <v>-0.15596965780428196</v>
      </c>
      <c r="L7" s="107" t="s">
        <v>357</v>
      </c>
      <c r="M7" s="97" t="s">
        <v>356</v>
      </c>
    </row>
    <row r="8" spans="1:13" x14ac:dyDescent="0.25">
      <c r="A8" s="161" t="s">
        <v>255</v>
      </c>
      <c r="B8" s="76" t="s">
        <v>63</v>
      </c>
      <c r="C8" s="99" t="s">
        <v>45</v>
      </c>
      <c r="D8" s="78">
        <v>14.767956999999999</v>
      </c>
      <c r="E8" s="78">
        <v>6.6231819999999999</v>
      </c>
      <c r="F8" s="78">
        <v>4.711722</v>
      </c>
      <c r="G8" s="78">
        <v>39.822009000000001</v>
      </c>
      <c r="H8" s="78">
        <v>62.803389000000003</v>
      </c>
      <c r="I8" s="79">
        <f t="shared" ref="I8:I12" si="4">IF(ISBLANK(H8),"N/A",IF(ISNA(H8/G8-1),"N/A",IF(ISERROR(H8/G8-1),"N/A",H8/G8-1)))</f>
        <v>0.57710247617090338</v>
      </c>
      <c r="J8" s="80">
        <f t="shared" ref="J8:J12" si="5">IF(ISBLANK(H8),"",IF(ISNA(AVERAGE(D8:H8)),"N/A",IF(ISERROR(AVERAGE(D8:H8)),"N/A",AVERAGE(D8:H8))))</f>
        <v>25.745651800000001</v>
      </c>
      <c r="K8" s="79">
        <f t="shared" ref="K8:K12" si="6">IF(ISBLANK(H8),"",IF(ISNA(H8/AVERAGE(D8:H8)-1),"N/A",IF(ISERROR(H8/AVERAGE(D8:H8)-1),"N/A",H8/AVERAGE(D8:H8)-1)))</f>
        <v>1.4393784817675503</v>
      </c>
      <c r="L8" s="95" t="s">
        <v>346</v>
      </c>
      <c r="M8" s="97" t="s">
        <v>345</v>
      </c>
    </row>
    <row r="9" spans="1:13" x14ac:dyDescent="0.25">
      <c r="A9" s="161"/>
      <c r="B9" s="76" t="s">
        <v>332</v>
      </c>
      <c r="C9" s="99" t="s">
        <v>45</v>
      </c>
      <c r="D9" s="78">
        <v>14.142956999999999</v>
      </c>
      <c r="E9" s="78">
        <v>6.6062989999999999</v>
      </c>
      <c r="F9" s="78">
        <v>4.711722</v>
      </c>
      <c r="G9" s="78">
        <v>39.803350000000002</v>
      </c>
      <c r="H9" s="78">
        <v>62.713371000000002</v>
      </c>
      <c r="I9" s="79">
        <f t="shared" si="4"/>
        <v>0.57558022126278319</v>
      </c>
      <c r="J9" s="80">
        <f t="shared" si="5"/>
        <v>25.595539800000001</v>
      </c>
      <c r="K9" s="79">
        <f t="shared" si="6"/>
        <v>1.4501679390250639</v>
      </c>
      <c r="L9" s="95" t="s">
        <v>346</v>
      </c>
      <c r="M9" s="97" t="s">
        <v>345</v>
      </c>
    </row>
    <row r="10" spans="1:13" x14ac:dyDescent="0.25">
      <c r="A10" s="161"/>
      <c r="B10" s="76" t="s">
        <v>409</v>
      </c>
      <c r="C10" s="99" t="s">
        <v>45</v>
      </c>
      <c r="D10" s="78">
        <v>0</v>
      </c>
      <c r="E10" s="78">
        <v>0</v>
      </c>
      <c r="F10" s="78">
        <v>0</v>
      </c>
      <c r="G10" s="78">
        <v>5.3099999999999996E-3</v>
      </c>
      <c r="H10" s="78">
        <v>7.5450000000000003E-2</v>
      </c>
      <c r="I10" s="79">
        <f t="shared" si="4"/>
        <v>13.2090395480226</v>
      </c>
      <c r="J10" s="80">
        <f t="shared" si="5"/>
        <v>1.6152E-2</v>
      </c>
      <c r="K10" s="79">
        <f t="shared" si="6"/>
        <v>3.671248142644874</v>
      </c>
      <c r="L10" s="95" t="s">
        <v>346</v>
      </c>
      <c r="M10" s="97" t="s">
        <v>345</v>
      </c>
    </row>
    <row r="11" spans="1:13" x14ac:dyDescent="0.25">
      <c r="A11" s="98" t="s">
        <v>256</v>
      </c>
      <c r="B11" s="76" t="s">
        <v>63</v>
      </c>
      <c r="C11" s="99" t="s">
        <v>45</v>
      </c>
      <c r="D11" s="78">
        <v>96.016589249999996</v>
      </c>
      <c r="E11" s="78">
        <v>148.43806641999998</v>
      </c>
      <c r="F11" s="78">
        <v>103.98743898000001</v>
      </c>
      <c r="G11" s="78">
        <v>105.92654983000001</v>
      </c>
      <c r="H11" s="78">
        <v>123.66780653999999</v>
      </c>
      <c r="I11" s="79">
        <f t="shared" si="4"/>
        <v>0.16748640202548515</v>
      </c>
      <c r="J11" s="80">
        <f t="shared" si="5"/>
        <v>115.60729020399999</v>
      </c>
      <c r="K11" s="79">
        <f t="shared" si="6"/>
        <v>6.9723252934797086E-2</v>
      </c>
      <c r="L11" s="95" t="s">
        <v>346</v>
      </c>
      <c r="M11" s="97" t="s">
        <v>345</v>
      </c>
    </row>
    <row r="12" spans="1:13" x14ac:dyDescent="0.25">
      <c r="A12" s="98" t="s">
        <v>301</v>
      </c>
      <c r="B12" s="76" t="s">
        <v>63</v>
      </c>
      <c r="C12" s="99" t="s">
        <v>45</v>
      </c>
      <c r="D12" s="78">
        <f>+D8-D11</f>
        <v>-81.24863225</v>
      </c>
      <c r="E12" s="78">
        <f t="shared" ref="E12:H12" si="7">+E8-E11</f>
        <v>-141.81488442</v>
      </c>
      <c r="F12" s="78">
        <f t="shared" si="7"/>
        <v>-99.275716980000013</v>
      </c>
      <c r="G12" s="78">
        <f t="shared" si="7"/>
        <v>-66.104540830000019</v>
      </c>
      <c r="H12" s="78">
        <f t="shared" si="7"/>
        <v>-60.864417539999984</v>
      </c>
      <c r="I12" s="79">
        <f t="shared" si="4"/>
        <v>-7.9270247160115326E-2</v>
      </c>
      <c r="J12" s="80">
        <f t="shared" si="5"/>
        <v>-89.861638404000004</v>
      </c>
      <c r="K12" s="79">
        <f t="shared" si="6"/>
        <v>-0.32268742679311391</v>
      </c>
      <c r="L12" s="95" t="s">
        <v>346</v>
      </c>
      <c r="M12" s="97" t="s">
        <v>345</v>
      </c>
    </row>
    <row r="13" spans="1:13" x14ac:dyDescent="0.25">
      <c r="A13" s="161" t="s">
        <v>88</v>
      </c>
      <c r="B13" s="86" t="s">
        <v>63</v>
      </c>
      <c r="C13" s="99" t="s">
        <v>45</v>
      </c>
      <c r="D13" s="92">
        <v>273.14006999999998</v>
      </c>
      <c r="E13" s="92">
        <v>134.74133</v>
      </c>
      <c r="F13" s="92">
        <v>34.622363</v>
      </c>
      <c r="G13" s="92">
        <v>224.64836199999999</v>
      </c>
      <c r="H13" s="92">
        <v>394.35313000000002</v>
      </c>
      <c r="I13" s="79">
        <f t="shared" si="0"/>
        <v>0.75542401684638172</v>
      </c>
      <c r="J13" s="80">
        <f t="shared" si="1"/>
        <v>212.301051</v>
      </c>
      <c r="K13" s="79">
        <f t="shared" si="2"/>
        <v>0.85751850093290405</v>
      </c>
      <c r="L13" s="95" t="s">
        <v>346</v>
      </c>
      <c r="M13" s="97" t="s">
        <v>345</v>
      </c>
    </row>
    <row r="14" spans="1:13" x14ac:dyDescent="0.25">
      <c r="A14" s="161"/>
      <c r="B14" s="88" t="s">
        <v>332</v>
      </c>
      <c r="C14" s="99" t="s">
        <v>45</v>
      </c>
      <c r="D14" s="92">
        <v>272.51506999999998</v>
      </c>
      <c r="E14" s="92">
        <v>134.724447</v>
      </c>
      <c r="F14" s="92">
        <v>34.101270999999997</v>
      </c>
      <c r="G14" s="92">
        <v>224.629572</v>
      </c>
      <c r="H14" s="92">
        <v>394.19607999999999</v>
      </c>
      <c r="I14" s="79">
        <f t="shared" si="0"/>
        <v>0.75487170495966582</v>
      </c>
      <c r="J14" s="80">
        <f t="shared" si="1"/>
        <v>212.033288</v>
      </c>
      <c r="K14" s="79">
        <f t="shared" si="2"/>
        <v>0.85912355422229747</v>
      </c>
      <c r="L14" s="95" t="s">
        <v>346</v>
      </c>
      <c r="M14" s="97" t="s">
        <v>345</v>
      </c>
    </row>
    <row r="15" spans="1:13" x14ac:dyDescent="0.25">
      <c r="A15" s="161"/>
      <c r="B15" s="88" t="s">
        <v>340</v>
      </c>
      <c r="C15" s="99" t="s">
        <v>45</v>
      </c>
      <c r="D15" s="92">
        <v>0</v>
      </c>
      <c r="E15" s="92">
        <v>0</v>
      </c>
      <c r="F15" s="92">
        <v>0.30632999999999999</v>
      </c>
      <c r="G15" s="92">
        <v>0</v>
      </c>
      <c r="H15" s="92">
        <v>0</v>
      </c>
      <c r="I15" s="79" t="str">
        <f t="shared" si="0"/>
        <v>N/A</v>
      </c>
      <c r="J15" s="80">
        <f t="shared" si="1"/>
        <v>6.1266000000000001E-2</v>
      </c>
      <c r="K15" s="79">
        <f t="shared" si="2"/>
        <v>-1</v>
      </c>
      <c r="L15" s="95" t="s">
        <v>346</v>
      </c>
      <c r="M15" s="97" t="s">
        <v>345</v>
      </c>
    </row>
    <row r="16" spans="1:13" x14ac:dyDescent="0.25">
      <c r="A16" s="161"/>
      <c r="B16" s="88" t="s">
        <v>336</v>
      </c>
      <c r="C16" s="99" t="s">
        <v>45</v>
      </c>
      <c r="D16" s="92">
        <v>0.625</v>
      </c>
      <c r="E16" s="92">
        <v>1.6882999999999999E-2</v>
      </c>
      <c r="F16" s="92">
        <v>0.21476200000000001</v>
      </c>
      <c r="G16" s="92">
        <v>0</v>
      </c>
      <c r="H16" s="92">
        <v>0</v>
      </c>
      <c r="I16" s="79" t="str">
        <f t="shared" si="0"/>
        <v>N/A</v>
      </c>
      <c r="J16" s="80">
        <f t="shared" si="1"/>
        <v>0.17132900000000001</v>
      </c>
      <c r="K16" s="79">
        <f t="shared" si="2"/>
        <v>-1</v>
      </c>
      <c r="L16" s="95" t="s">
        <v>346</v>
      </c>
      <c r="M16" s="97" t="s">
        <v>345</v>
      </c>
    </row>
    <row r="17" spans="1:13" x14ac:dyDescent="0.25">
      <c r="A17" s="98" t="s">
        <v>64</v>
      </c>
      <c r="B17" s="86" t="s">
        <v>63</v>
      </c>
      <c r="C17" s="99" t="s">
        <v>45</v>
      </c>
      <c r="D17" s="78">
        <v>256.94107903999998</v>
      </c>
      <c r="E17" s="78">
        <v>378.58902534000003</v>
      </c>
      <c r="F17" s="78">
        <v>294.34535232999997</v>
      </c>
      <c r="G17" s="78">
        <v>281.68585337000002</v>
      </c>
      <c r="H17" s="78">
        <v>312.00420936</v>
      </c>
      <c r="I17" s="79">
        <f t="shared" si="0"/>
        <v>0.10763180197827049</v>
      </c>
      <c r="J17" s="80">
        <f t="shared" si="1"/>
        <v>304.71310388800003</v>
      </c>
      <c r="K17" s="79">
        <f t="shared" si="2"/>
        <v>2.3927771332997505E-2</v>
      </c>
      <c r="L17" s="95" t="s">
        <v>346</v>
      </c>
      <c r="M17" s="97" t="s">
        <v>345</v>
      </c>
    </row>
    <row r="18" spans="1:13" x14ac:dyDescent="0.25">
      <c r="A18" s="98" t="s">
        <v>301</v>
      </c>
      <c r="B18" s="86" t="s">
        <v>63</v>
      </c>
      <c r="C18" s="99" t="s">
        <v>45</v>
      </c>
      <c r="D18" s="78">
        <f>+D13-D17</f>
        <v>16.198990960000003</v>
      </c>
      <c r="E18" s="78">
        <f>+E13-E17</f>
        <v>-243.84769534000003</v>
      </c>
      <c r="F18" s="78">
        <f>+F13-F17</f>
        <v>-259.72298932999996</v>
      </c>
      <c r="G18" s="78">
        <f>+G13-G17</f>
        <v>-57.037491370000026</v>
      </c>
      <c r="H18" s="78">
        <f>+H13-H17</f>
        <v>82.348920640000017</v>
      </c>
      <c r="I18" s="79">
        <f t="shared" si="0"/>
        <v>-2.4437682770058329</v>
      </c>
      <c r="J18" s="80">
        <f t="shared" si="1"/>
        <v>-92.412052888000005</v>
      </c>
      <c r="K18" s="79">
        <f t="shared" si="2"/>
        <v>-1.8911058467644244</v>
      </c>
      <c r="L18" s="95" t="s">
        <v>346</v>
      </c>
      <c r="M18" s="97" t="s">
        <v>345</v>
      </c>
    </row>
    <row r="19" spans="1:13" x14ac:dyDescent="0.25">
      <c r="A19" s="13" t="s">
        <v>294</v>
      </c>
    </row>
    <row r="20" spans="1:13" x14ac:dyDescent="0.25">
      <c r="A20" s="13" t="s">
        <v>308</v>
      </c>
    </row>
    <row r="21" spans="1:13" x14ac:dyDescent="0.25">
      <c r="A21" s="13" t="s">
        <v>271</v>
      </c>
    </row>
  </sheetData>
  <mergeCells count="2">
    <mergeCell ref="A13:A16"/>
    <mergeCell ref="A8:A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F7B1C-13CA-47FB-8CE0-90ACAC6A80A3}">
  <sheetPr codeName="Sheet5"/>
  <dimension ref="A1:M16"/>
  <sheetViews>
    <sheetView workbookViewId="0">
      <selection activeCell="A16" sqref="A16"/>
    </sheetView>
  </sheetViews>
  <sheetFormatPr defaultRowHeight="15" x14ac:dyDescent="0.25"/>
  <cols>
    <col min="1" max="1" width="17.5703125" customWidth="1"/>
    <col min="2" max="2" width="11.5703125" bestFit="1" customWidth="1"/>
    <col min="3" max="3" width="10" bestFit="1" customWidth="1"/>
  </cols>
  <sheetData>
    <row r="1" spans="1:13" x14ac:dyDescent="0.25">
      <c r="A1" s="124" t="s">
        <v>87</v>
      </c>
      <c r="B1" s="124"/>
      <c r="C1" s="124"/>
      <c r="D1" s="124"/>
      <c r="E1" s="124"/>
      <c r="F1" s="124"/>
      <c r="G1" s="124"/>
      <c r="H1" s="124"/>
      <c r="I1" s="124"/>
      <c r="J1" s="124"/>
      <c r="K1" s="124"/>
      <c r="L1" s="124"/>
      <c r="M1" s="124"/>
    </row>
    <row r="2" spans="1:13" x14ac:dyDescent="0.25">
      <c r="A2" s="118" t="s">
        <v>52</v>
      </c>
      <c r="B2" s="119" t="s">
        <v>53</v>
      </c>
      <c r="C2" s="120" t="s">
        <v>44</v>
      </c>
      <c r="D2" s="119" t="str">
        <f>+'Gross Value of Production'!C1</f>
        <v>2018-19</v>
      </c>
      <c r="E2" s="119" t="str">
        <f>+'Gross Value of Production'!D1</f>
        <v>2019-20</v>
      </c>
      <c r="F2" s="119" t="str">
        <f>+'Gross Value of Production'!E1</f>
        <v>2020-21</v>
      </c>
      <c r="G2" s="119" t="str">
        <f>+'Gross Value of Production'!F1</f>
        <v>2021-22s</v>
      </c>
      <c r="H2" s="119" t="str">
        <f>+'Gross Value of Production'!G1</f>
        <v>2022-23e</v>
      </c>
      <c r="I2" s="121" t="s">
        <v>47</v>
      </c>
      <c r="J2" s="121" t="s">
        <v>65</v>
      </c>
      <c r="K2" s="121" t="s">
        <v>49</v>
      </c>
      <c r="L2" s="122" t="s">
        <v>50</v>
      </c>
      <c r="M2" s="123" t="s">
        <v>51</v>
      </c>
    </row>
    <row r="3" spans="1:13" x14ac:dyDescent="0.25">
      <c r="A3" s="98" t="s">
        <v>315</v>
      </c>
      <c r="B3" s="76"/>
      <c r="C3" s="99" t="s">
        <v>45</v>
      </c>
      <c r="D3" s="78">
        <v>187.52940182</v>
      </c>
      <c r="E3" s="78">
        <v>152.51688572999998</v>
      </c>
      <c r="F3" s="78">
        <v>404.62372719999996</v>
      </c>
      <c r="G3" s="78">
        <v>544.18180195518244</v>
      </c>
      <c r="H3" s="78">
        <v>531.06931538642345</v>
      </c>
      <c r="I3" s="79">
        <f t="shared" ref="I3:I13" si="0">IF(ISBLANK(H3),"N/A",IF(ISNA(H3/G3-1),"N/A",IF(ISERROR(H3/G3-1),"N/A",H3/G3-1)))</f>
        <v>-2.4095782919692166E-2</v>
      </c>
      <c r="J3" s="80">
        <f t="shared" ref="J3:J13" si="1">IF(ISBLANK(H3),"",IF(ISNA(AVERAGE(D3:H3)),"N/A",IF(ISERROR(AVERAGE(D3:H3)),"N/A",AVERAGE(D3:H3))))</f>
        <v>363.98422641832121</v>
      </c>
      <c r="K3" s="79">
        <f t="shared" ref="K3:K13" si="2">IF(ISBLANK(H3),"",IF(ISNA(H3/AVERAGE(D3:H3)-1),"N/A",IF(ISERROR(H3/AVERAGE(D3:H3)-1),"N/A",H3/AVERAGE(D3:H3)-1)))</f>
        <v>0.45904486194979799</v>
      </c>
      <c r="L3" s="95" t="s">
        <v>352</v>
      </c>
      <c r="M3" s="97" t="s">
        <v>353</v>
      </c>
    </row>
    <row r="4" spans="1:13" x14ac:dyDescent="0.25">
      <c r="A4" s="98" t="s">
        <v>54</v>
      </c>
      <c r="B4" s="86"/>
      <c r="C4" s="100" t="s">
        <v>55</v>
      </c>
      <c r="D4" s="106">
        <v>412.25800000000004</v>
      </c>
      <c r="E4" s="106">
        <v>304.36</v>
      </c>
      <c r="F4" s="106">
        <v>406.01599999999996</v>
      </c>
      <c r="G4" s="106">
        <v>451.77199999999999</v>
      </c>
      <c r="H4" s="106">
        <v>450</v>
      </c>
      <c r="I4" s="79">
        <f t="shared" si="0"/>
        <v>-3.9223325040064205E-3</v>
      </c>
      <c r="J4" s="80">
        <f t="shared" si="1"/>
        <v>404.88119999999998</v>
      </c>
      <c r="K4" s="79">
        <f t="shared" si="2"/>
        <v>0.11143713267002764</v>
      </c>
      <c r="L4" s="95" t="s">
        <v>355</v>
      </c>
      <c r="M4" s="97" t="s">
        <v>354</v>
      </c>
    </row>
    <row r="5" spans="1:13" x14ac:dyDescent="0.25">
      <c r="A5" s="98" t="s">
        <v>56</v>
      </c>
      <c r="B5" s="86"/>
      <c r="C5" s="99" t="s">
        <v>57</v>
      </c>
      <c r="D5" s="84">
        <f>+D6/D4</f>
        <v>1.7981191389857805</v>
      </c>
      <c r="E5" s="84">
        <f t="shared" ref="E5:H5" si="3">+E6/E4</f>
        <v>1.965041398344066</v>
      </c>
      <c r="F5" s="84">
        <f t="shared" si="3"/>
        <v>2.6436864557061792</v>
      </c>
      <c r="G5" s="84">
        <f t="shared" si="3"/>
        <v>3.1982858610095359</v>
      </c>
      <c r="H5" s="84">
        <f t="shared" si="3"/>
        <v>2.8426666666666667</v>
      </c>
      <c r="I5" s="79">
        <f t="shared" si="0"/>
        <v>-0.11119055950509016</v>
      </c>
      <c r="J5" s="80">
        <f t="shared" si="1"/>
        <v>2.4895599041424452</v>
      </c>
      <c r="K5" s="79">
        <f t="shared" si="2"/>
        <v>0.1418350134642985</v>
      </c>
      <c r="L5" s="95" t="s">
        <v>355</v>
      </c>
      <c r="M5" s="97" t="s">
        <v>354</v>
      </c>
    </row>
    <row r="6" spans="1:13" x14ac:dyDescent="0.25">
      <c r="A6" s="98" t="s">
        <v>58</v>
      </c>
      <c r="B6" s="76"/>
      <c r="C6" s="100" t="s">
        <v>59</v>
      </c>
      <c r="D6" s="106">
        <v>741.28899999999999</v>
      </c>
      <c r="E6" s="106">
        <v>598.07999999999993</v>
      </c>
      <c r="F6" s="106">
        <v>1073.3789999999999</v>
      </c>
      <c r="G6" s="106">
        <v>1444.896</v>
      </c>
      <c r="H6" s="106">
        <v>1279.2</v>
      </c>
      <c r="I6" s="79">
        <f t="shared" si="0"/>
        <v>-0.11467676566341101</v>
      </c>
      <c r="J6" s="80">
        <f t="shared" si="1"/>
        <v>1027.3687999999997</v>
      </c>
      <c r="K6" s="79">
        <f t="shared" si="2"/>
        <v>0.24512249155317978</v>
      </c>
      <c r="L6" s="95" t="s">
        <v>355</v>
      </c>
      <c r="M6" s="97" t="s">
        <v>354</v>
      </c>
    </row>
    <row r="7" spans="1:13" x14ac:dyDescent="0.25">
      <c r="A7" s="98" t="s">
        <v>69</v>
      </c>
      <c r="B7" s="76"/>
      <c r="C7" s="99" t="s">
        <v>61</v>
      </c>
      <c r="D7" s="78">
        <v>346.12200000000001</v>
      </c>
      <c r="E7" s="78">
        <v>384.55099999999999</v>
      </c>
      <c r="F7" s="78">
        <v>329.33</v>
      </c>
      <c r="G7" s="78">
        <v>383.36</v>
      </c>
      <c r="H7" s="78">
        <v>455.13799999999998</v>
      </c>
      <c r="I7" s="79">
        <f t="shared" si="0"/>
        <v>0.1872339315525875</v>
      </c>
      <c r="J7" s="80">
        <f t="shared" si="1"/>
        <v>379.70019999999994</v>
      </c>
      <c r="K7" s="79">
        <f t="shared" si="2"/>
        <v>0.19867727222687814</v>
      </c>
      <c r="L7" s="107" t="s">
        <v>357</v>
      </c>
      <c r="M7" s="97" t="s">
        <v>356</v>
      </c>
    </row>
    <row r="8" spans="1:13" x14ac:dyDescent="0.25">
      <c r="A8" s="161" t="s">
        <v>246</v>
      </c>
      <c r="B8" s="86" t="s">
        <v>63</v>
      </c>
      <c r="C8" s="99" t="s">
        <v>45</v>
      </c>
      <c r="D8" s="78">
        <v>5.5922729999999996</v>
      </c>
      <c r="E8" s="78">
        <v>1.2930410000000001</v>
      </c>
      <c r="F8" s="78">
        <v>68.766856000000004</v>
      </c>
      <c r="G8" s="78">
        <v>230.96991</v>
      </c>
      <c r="H8" s="78">
        <v>408.98327999999998</v>
      </c>
      <c r="I8" s="79">
        <f t="shared" si="0"/>
        <v>0.77072104327355873</v>
      </c>
      <c r="J8" s="80">
        <f t="shared" si="1"/>
        <v>143.121072</v>
      </c>
      <c r="K8" s="79">
        <f t="shared" si="2"/>
        <v>1.8576035260551986</v>
      </c>
      <c r="L8" s="95" t="s">
        <v>346</v>
      </c>
      <c r="M8" s="97" t="s">
        <v>345</v>
      </c>
    </row>
    <row r="9" spans="1:13" x14ac:dyDescent="0.25">
      <c r="A9" s="161"/>
      <c r="B9" s="88" t="s">
        <v>330</v>
      </c>
      <c r="C9" s="99" t="s">
        <v>45</v>
      </c>
      <c r="D9" s="78">
        <v>5.1218830000000004</v>
      </c>
      <c r="E9" s="78">
        <v>0.45589499999999999</v>
      </c>
      <c r="F9" s="78">
        <v>51.637512999999998</v>
      </c>
      <c r="G9" s="78">
        <v>225.38706199999999</v>
      </c>
      <c r="H9" s="78">
        <v>347.59965499999998</v>
      </c>
      <c r="I9" s="79">
        <f t="shared" si="0"/>
        <v>0.5422342876096411</v>
      </c>
      <c r="J9" s="80">
        <f t="shared" si="1"/>
        <v>126.0404016</v>
      </c>
      <c r="K9" s="79">
        <f t="shared" si="2"/>
        <v>1.7578431248032458</v>
      </c>
      <c r="L9" s="95" t="s">
        <v>346</v>
      </c>
      <c r="M9" s="97" t="s">
        <v>345</v>
      </c>
    </row>
    <row r="10" spans="1:13" x14ac:dyDescent="0.25">
      <c r="A10" s="161"/>
      <c r="B10" s="88" t="s">
        <v>331</v>
      </c>
      <c r="C10" s="99" t="s">
        <v>45</v>
      </c>
      <c r="D10" s="78">
        <v>9.9839999999999998E-2</v>
      </c>
      <c r="E10" s="78">
        <v>0.19223999999999999</v>
      </c>
      <c r="F10" s="78">
        <v>13.078875</v>
      </c>
      <c r="G10" s="78">
        <v>5.8000000000000003E-2</v>
      </c>
      <c r="H10" s="78">
        <v>57.389809</v>
      </c>
      <c r="I10" s="79">
        <f t="shared" si="0"/>
        <v>988.47946551724135</v>
      </c>
      <c r="J10" s="80">
        <f t="shared" si="1"/>
        <v>14.163752800000001</v>
      </c>
      <c r="K10" s="79">
        <f t="shared" si="2"/>
        <v>3.0518787506655718</v>
      </c>
      <c r="L10" s="95" t="s">
        <v>346</v>
      </c>
      <c r="M10" s="97" t="s">
        <v>345</v>
      </c>
    </row>
    <row r="11" spans="1:13" x14ac:dyDescent="0.25">
      <c r="A11" s="161"/>
      <c r="B11" s="88" t="s">
        <v>410</v>
      </c>
      <c r="C11" s="99" t="s">
        <v>45</v>
      </c>
      <c r="D11" s="78">
        <v>0.16303599999999999</v>
      </c>
      <c r="E11" s="78">
        <v>0.225878</v>
      </c>
      <c r="F11" s="78">
        <v>1.5680270000000001</v>
      </c>
      <c r="G11" s="78">
        <v>1.17666</v>
      </c>
      <c r="H11" s="78">
        <v>1.4148480000000001</v>
      </c>
      <c r="I11" s="79">
        <f t="shared" si="0"/>
        <v>0.20242720921931578</v>
      </c>
      <c r="J11" s="80">
        <f t="shared" si="1"/>
        <v>0.90968979999999999</v>
      </c>
      <c r="K11" s="79">
        <f t="shared" si="2"/>
        <v>0.5553081940679121</v>
      </c>
      <c r="L11" s="95" t="s">
        <v>346</v>
      </c>
      <c r="M11" s="97" t="s">
        <v>345</v>
      </c>
    </row>
    <row r="12" spans="1:13" x14ac:dyDescent="0.25">
      <c r="A12" s="98" t="s">
        <v>247</v>
      </c>
      <c r="B12" s="86" t="s">
        <v>63</v>
      </c>
      <c r="C12" s="99" t="s">
        <v>45</v>
      </c>
      <c r="D12" s="78">
        <v>0</v>
      </c>
      <c r="E12" s="78">
        <v>0</v>
      </c>
      <c r="F12" s="78">
        <v>0</v>
      </c>
      <c r="G12" s="78">
        <v>1.2479100000000001E-3</v>
      </c>
      <c r="H12" s="78">
        <v>6.6449679999999997E-2</v>
      </c>
      <c r="I12" s="79">
        <f t="shared" si="0"/>
        <v>52.248775953394066</v>
      </c>
      <c r="J12" s="80">
        <f t="shared" si="1"/>
        <v>1.3539518E-2</v>
      </c>
      <c r="K12" s="79">
        <f t="shared" si="2"/>
        <v>3.9078320217898446</v>
      </c>
      <c r="L12" s="95" t="s">
        <v>346</v>
      </c>
      <c r="M12" s="97" t="s">
        <v>345</v>
      </c>
    </row>
    <row r="13" spans="1:13" x14ac:dyDescent="0.25">
      <c r="A13" s="98" t="s">
        <v>301</v>
      </c>
      <c r="B13" s="86" t="s">
        <v>63</v>
      </c>
      <c r="C13" s="99" t="s">
        <v>45</v>
      </c>
      <c r="D13" s="78">
        <f>+D8-D12</f>
        <v>5.5922729999999996</v>
      </c>
      <c r="E13" s="78">
        <f t="shared" ref="E13:H13" si="4">+E8-E12</f>
        <v>1.2930410000000001</v>
      </c>
      <c r="F13" s="78">
        <f t="shared" si="4"/>
        <v>68.766856000000004</v>
      </c>
      <c r="G13" s="78">
        <f t="shared" si="4"/>
        <v>230.96866209000001</v>
      </c>
      <c r="H13" s="78">
        <f t="shared" si="4"/>
        <v>408.91683031999997</v>
      </c>
      <c r="I13" s="79">
        <f t="shared" si="0"/>
        <v>0.77044291039214707</v>
      </c>
      <c r="J13" s="80">
        <f t="shared" si="1"/>
        <v>143.10753248199998</v>
      </c>
      <c r="K13" s="79">
        <f t="shared" si="2"/>
        <v>1.8574095522989569</v>
      </c>
      <c r="L13" s="95" t="s">
        <v>346</v>
      </c>
      <c r="M13" s="97" t="s">
        <v>345</v>
      </c>
    </row>
    <row r="14" spans="1:13" x14ac:dyDescent="0.25">
      <c r="A14" s="13" t="s">
        <v>294</v>
      </c>
    </row>
    <row r="15" spans="1:13" x14ac:dyDescent="0.25">
      <c r="A15" s="13" t="s">
        <v>308</v>
      </c>
    </row>
    <row r="16" spans="1:13" x14ac:dyDescent="0.25">
      <c r="A16" s="13" t="s">
        <v>271</v>
      </c>
    </row>
  </sheetData>
  <mergeCells count="1">
    <mergeCell ref="A8:A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90788-9B1A-41E5-A896-84C137823FB8}">
  <sheetPr codeName="Sheet6"/>
  <dimension ref="A1:M16"/>
  <sheetViews>
    <sheetView workbookViewId="0">
      <selection activeCell="A16" sqref="A16"/>
    </sheetView>
  </sheetViews>
  <sheetFormatPr defaultRowHeight="15" x14ac:dyDescent="0.25"/>
  <cols>
    <col min="1" max="1" width="14.7109375" bestFit="1" customWidth="1"/>
    <col min="2" max="2" width="11.5703125" bestFit="1" customWidth="1"/>
    <col min="3" max="3" width="10" bestFit="1" customWidth="1"/>
  </cols>
  <sheetData>
    <row r="1" spans="1:13" x14ac:dyDescent="0.25">
      <c r="A1" s="124" t="s">
        <v>10</v>
      </c>
      <c r="B1" s="124"/>
      <c r="C1" s="124"/>
      <c r="D1" s="124"/>
      <c r="E1" s="124"/>
      <c r="F1" s="124"/>
      <c r="G1" s="124"/>
      <c r="H1" s="124"/>
      <c r="I1" s="124"/>
      <c r="J1" s="124"/>
      <c r="K1" s="124"/>
      <c r="L1" s="124"/>
      <c r="M1" s="124"/>
    </row>
    <row r="2" spans="1:13" x14ac:dyDescent="0.25">
      <c r="A2" s="118" t="s">
        <v>52</v>
      </c>
      <c r="B2" s="119" t="s">
        <v>53</v>
      </c>
      <c r="C2" s="120" t="s">
        <v>44</v>
      </c>
      <c r="D2" s="119" t="str">
        <f>+'Gross Value of Production'!C1</f>
        <v>2018-19</v>
      </c>
      <c r="E2" s="119" t="str">
        <f>+'Gross Value of Production'!D1</f>
        <v>2019-20</v>
      </c>
      <c r="F2" s="119" t="str">
        <f>+'Gross Value of Production'!E1</f>
        <v>2020-21</v>
      </c>
      <c r="G2" s="119" t="str">
        <f>+'Gross Value of Production'!F1</f>
        <v>2021-22s</v>
      </c>
      <c r="H2" s="119" t="str">
        <f>+'Gross Value of Production'!G1</f>
        <v>2022-23e</v>
      </c>
      <c r="I2" s="121" t="s">
        <v>47</v>
      </c>
      <c r="J2" s="121" t="s">
        <v>65</v>
      </c>
      <c r="K2" s="121" t="s">
        <v>49</v>
      </c>
      <c r="L2" s="122" t="s">
        <v>50</v>
      </c>
      <c r="M2" s="123" t="s">
        <v>51</v>
      </c>
    </row>
    <row r="3" spans="1:13" x14ac:dyDescent="0.25">
      <c r="A3" s="98" t="s">
        <v>315</v>
      </c>
      <c r="B3" s="76"/>
      <c r="C3" s="99" t="s">
        <v>45</v>
      </c>
      <c r="D3" s="78">
        <v>71.787893370000006</v>
      </c>
      <c r="E3" s="78">
        <v>57.266532670000004</v>
      </c>
      <c r="F3" s="78">
        <v>492.84287260999997</v>
      </c>
      <c r="G3" s="78">
        <v>554.09654301552666</v>
      </c>
      <c r="H3" s="78">
        <v>268.42390537488347</v>
      </c>
      <c r="I3" s="79">
        <f t="shared" ref="I3:I13" si="0">IF(ISBLANK(H3),"N/A",IF(ISNA(H3/G3-1),"N/A",IF(ISERROR(H3/G3-1),"N/A",H3/G3-1)))</f>
        <v>-0.51556473549887893</v>
      </c>
      <c r="J3" s="80">
        <f t="shared" ref="J3:J13" si="1">IF(ISBLANK(H3),"",IF(ISNA(AVERAGE(D3:H3)),"N/A",IF(ISERROR(AVERAGE(D3:H3)),"N/A",AVERAGE(D3:H3))))</f>
        <v>288.88354940808205</v>
      </c>
      <c r="K3" s="79">
        <f t="shared" ref="K3:K13" si="2">IF(ISBLANK(H3),"",IF(ISNA(H3/AVERAGE(D3:H3)-1),"N/A",IF(ISERROR(H3/AVERAGE(D3:H3)-1),"N/A",H3/AVERAGE(D3:H3)-1)))</f>
        <v>-7.0823153741776168E-2</v>
      </c>
      <c r="L3" s="95" t="s">
        <v>352</v>
      </c>
      <c r="M3" s="97" t="s">
        <v>353</v>
      </c>
    </row>
    <row r="4" spans="1:13" x14ac:dyDescent="0.25">
      <c r="A4" s="98" t="s">
        <v>54</v>
      </c>
      <c r="B4" s="86"/>
      <c r="C4" s="100" t="s">
        <v>55</v>
      </c>
      <c r="D4" s="106">
        <v>682.4</v>
      </c>
      <c r="E4" s="106">
        <v>180.744</v>
      </c>
      <c r="F4" s="106">
        <v>157.57</v>
      </c>
      <c r="G4" s="106">
        <v>509.839</v>
      </c>
      <c r="H4" s="106">
        <v>437</v>
      </c>
      <c r="I4" s="79">
        <f t="shared" si="0"/>
        <v>-0.14286666967415207</v>
      </c>
      <c r="J4" s="80">
        <f t="shared" si="1"/>
        <v>393.51059999999995</v>
      </c>
      <c r="K4" s="79">
        <f t="shared" si="2"/>
        <v>0.11051646385129166</v>
      </c>
      <c r="L4" s="95" t="s">
        <v>355</v>
      </c>
      <c r="M4" s="97" t="s">
        <v>354</v>
      </c>
    </row>
    <row r="5" spans="1:13" x14ac:dyDescent="0.25">
      <c r="A5" s="98" t="s">
        <v>56</v>
      </c>
      <c r="B5" s="86"/>
      <c r="C5" s="99" t="s">
        <v>57</v>
      </c>
      <c r="D5" s="84">
        <f>+D6/D4</f>
        <v>0.82699296600234462</v>
      </c>
      <c r="E5" s="84">
        <f t="shared" ref="E5:H5" si="3">+E6/E4</f>
        <v>0.41934448723055812</v>
      </c>
      <c r="F5" s="84">
        <f t="shared" si="3"/>
        <v>0.52943453703116083</v>
      </c>
      <c r="G5" s="84">
        <f t="shared" si="3"/>
        <v>1.6587000994431575</v>
      </c>
      <c r="H5" s="84">
        <f t="shared" si="3"/>
        <v>1.8026086956521739</v>
      </c>
      <c r="I5" s="79">
        <f t="shared" si="0"/>
        <v>8.6759864702080858E-2</v>
      </c>
      <c r="J5" s="80">
        <f t="shared" si="1"/>
        <v>1.047416157071879</v>
      </c>
      <c r="K5" s="79">
        <f t="shared" si="2"/>
        <v>0.72100524083138606</v>
      </c>
      <c r="L5" s="95" t="s">
        <v>355</v>
      </c>
      <c r="M5" s="97" t="s">
        <v>354</v>
      </c>
    </row>
    <row r="6" spans="1:13" x14ac:dyDescent="0.25">
      <c r="A6" s="98" t="s">
        <v>58</v>
      </c>
      <c r="B6" s="76"/>
      <c r="C6" s="100" t="s">
        <v>59</v>
      </c>
      <c r="D6" s="106">
        <v>564.33999999999992</v>
      </c>
      <c r="E6" s="106">
        <v>75.793999999999997</v>
      </c>
      <c r="F6" s="106">
        <v>83.423000000000002</v>
      </c>
      <c r="G6" s="106">
        <v>845.67</v>
      </c>
      <c r="H6" s="106">
        <v>787.74</v>
      </c>
      <c r="I6" s="79">
        <f t="shared" si="0"/>
        <v>-6.8501897903437414E-2</v>
      </c>
      <c r="J6" s="80">
        <f t="shared" si="1"/>
        <v>471.39339999999993</v>
      </c>
      <c r="K6" s="79">
        <f t="shared" si="2"/>
        <v>0.67108830967934674</v>
      </c>
      <c r="L6" s="95" t="s">
        <v>355</v>
      </c>
      <c r="M6" s="97" t="s">
        <v>354</v>
      </c>
    </row>
    <row r="7" spans="1:13" x14ac:dyDescent="0.25">
      <c r="A7" s="98" t="s">
        <v>89</v>
      </c>
      <c r="B7" s="76"/>
      <c r="C7" s="99" t="s">
        <v>61</v>
      </c>
      <c r="D7" s="78">
        <v>1126.117</v>
      </c>
      <c r="E7" s="78">
        <v>760.78099999999995</v>
      </c>
      <c r="F7" s="78">
        <v>592.98299999999995</v>
      </c>
      <c r="G7" s="78">
        <v>778.94200000000001</v>
      </c>
      <c r="H7" s="78">
        <v>782.81700000000001</v>
      </c>
      <c r="I7" s="79">
        <f t="shared" si="0"/>
        <v>4.9746964472323629E-3</v>
      </c>
      <c r="J7" s="80">
        <f t="shared" si="1"/>
        <v>808.32799999999997</v>
      </c>
      <c r="K7" s="79">
        <f t="shared" si="2"/>
        <v>-3.1560208232301656E-2</v>
      </c>
      <c r="L7" s="107" t="s">
        <v>357</v>
      </c>
      <c r="M7" s="97" t="s">
        <v>356</v>
      </c>
    </row>
    <row r="8" spans="1:13" x14ac:dyDescent="0.25">
      <c r="A8" s="160" t="s">
        <v>62</v>
      </c>
      <c r="B8" s="86" t="s">
        <v>63</v>
      </c>
      <c r="C8" s="99" t="s">
        <v>45</v>
      </c>
      <c r="D8" s="78">
        <v>56.862020000000001</v>
      </c>
      <c r="E8" s="78">
        <v>52.984881000000001</v>
      </c>
      <c r="F8" s="78">
        <v>215.15496999999999</v>
      </c>
      <c r="G8" s="78">
        <v>190.50107299999999</v>
      </c>
      <c r="H8" s="78">
        <v>138.82560100000001</v>
      </c>
      <c r="I8" s="79">
        <f t="shared" si="0"/>
        <v>-0.27126079232110145</v>
      </c>
      <c r="J8" s="80">
        <f t="shared" si="1"/>
        <v>130.86570899999998</v>
      </c>
      <c r="K8" s="79">
        <f t="shared" si="2"/>
        <v>6.0824887289610885E-2</v>
      </c>
      <c r="L8" s="95" t="s">
        <v>346</v>
      </c>
      <c r="M8" s="97" t="s">
        <v>345</v>
      </c>
    </row>
    <row r="9" spans="1:13" x14ac:dyDescent="0.25">
      <c r="A9" s="160"/>
      <c r="B9" s="112" t="s">
        <v>333</v>
      </c>
      <c r="C9" s="99" t="s">
        <v>45</v>
      </c>
      <c r="D9" s="78">
        <v>20.175578999999999</v>
      </c>
      <c r="E9" s="78">
        <v>32.682865999999997</v>
      </c>
      <c r="F9" s="78">
        <v>117.92167999999999</v>
      </c>
      <c r="G9" s="78">
        <v>46.779173</v>
      </c>
      <c r="H9" s="78">
        <v>76.582898999999998</v>
      </c>
      <c r="I9" s="79">
        <f t="shared" si="0"/>
        <v>0.637115282050839</v>
      </c>
      <c r="J9" s="80">
        <f t="shared" si="1"/>
        <v>58.828439400000001</v>
      </c>
      <c r="K9" s="79">
        <f t="shared" si="2"/>
        <v>0.30180062196244495</v>
      </c>
      <c r="L9" s="95" t="s">
        <v>346</v>
      </c>
      <c r="M9" s="97" t="s">
        <v>345</v>
      </c>
    </row>
    <row r="10" spans="1:13" x14ac:dyDescent="0.25">
      <c r="A10" s="160"/>
      <c r="B10" s="112" t="s">
        <v>334</v>
      </c>
      <c r="C10" s="99" t="s">
        <v>45</v>
      </c>
      <c r="D10" s="78">
        <v>13.109811000000001</v>
      </c>
      <c r="E10" s="78">
        <v>9.2145679999999999</v>
      </c>
      <c r="F10" s="78">
        <v>15.039495000000001</v>
      </c>
      <c r="G10" s="78">
        <v>20.996089000000001</v>
      </c>
      <c r="H10" s="78">
        <v>21.326419000000001</v>
      </c>
      <c r="I10" s="79">
        <f t="shared" si="0"/>
        <v>1.5732930070929019E-2</v>
      </c>
      <c r="J10" s="80">
        <f t="shared" si="1"/>
        <v>15.937276400000002</v>
      </c>
      <c r="K10" s="79">
        <f t="shared" si="2"/>
        <v>0.33814702492076987</v>
      </c>
      <c r="L10" s="95" t="s">
        <v>346</v>
      </c>
      <c r="M10" s="97" t="s">
        <v>345</v>
      </c>
    </row>
    <row r="11" spans="1:13" x14ac:dyDescent="0.25">
      <c r="A11" s="160"/>
      <c r="B11" s="112" t="s">
        <v>335</v>
      </c>
      <c r="C11" s="99" t="s">
        <v>45</v>
      </c>
      <c r="D11" s="78">
        <v>14.817441000000001</v>
      </c>
      <c r="E11" s="78">
        <v>8.0937819999999991</v>
      </c>
      <c r="F11" s="78">
        <v>41.505887999999999</v>
      </c>
      <c r="G11" s="78">
        <v>60.564587000000003</v>
      </c>
      <c r="H11" s="78">
        <v>17.843775999999998</v>
      </c>
      <c r="I11" s="79">
        <f t="shared" si="0"/>
        <v>-0.70537608057989409</v>
      </c>
      <c r="J11" s="80">
        <f t="shared" si="1"/>
        <v>28.565094800000004</v>
      </c>
      <c r="K11" s="79">
        <f t="shared" si="2"/>
        <v>-0.37532936176357468</v>
      </c>
      <c r="L11" s="95" t="s">
        <v>346</v>
      </c>
      <c r="M11" s="97" t="s">
        <v>345</v>
      </c>
    </row>
    <row r="12" spans="1:13" x14ac:dyDescent="0.25">
      <c r="A12" s="98" t="s">
        <v>64</v>
      </c>
      <c r="B12" s="86" t="s">
        <v>63</v>
      </c>
      <c r="C12" s="99" t="s">
        <v>45</v>
      </c>
      <c r="D12" s="78">
        <v>13.4519041</v>
      </c>
      <c r="E12" s="78">
        <v>15.87296199</v>
      </c>
      <c r="F12" s="78">
        <v>15.576629969999999</v>
      </c>
      <c r="G12" s="78">
        <v>15.93127982</v>
      </c>
      <c r="H12" s="78">
        <v>13.8134792</v>
      </c>
      <c r="I12" s="79">
        <f t="shared" si="0"/>
        <v>-0.1329334895832619</v>
      </c>
      <c r="J12" s="80">
        <f t="shared" si="1"/>
        <v>14.929251016</v>
      </c>
      <c r="K12" s="79">
        <f t="shared" si="2"/>
        <v>-7.4737293572477492E-2</v>
      </c>
      <c r="L12" s="95" t="s">
        <v>346</v>
      </c>
      <c r="M12" s="97" t="s">
        <v>345</v>
      </c>
    </row>
    <row r="13" spans="1:13" x14ac:dyDescent="0.25">
      <c r="A13" s="98" t="s">
        <v>301</v>
      </c>
      <c r="B13" s="86" t="s">
        <v>63</v>
      </c>
      <c r="C13" s="99" t="s">
        <v>45</v>
      </c>
      <c r="D13" s="78">
        <f t="shared" ref="D13:E13" si="4">+D8-D12</f>
        <v>43.410115900000001</v>
      </c>
      <c r="E13" s="78">
        <f t="shared" si="4"/>
        <v>37.111919010000001</v>
      </c>
      <c r="F13" s="78">
        <f>+F8-F12</f>
        <v>199.57834002999999</v>
      </c>
      <c r="G13" s="78">
        <f t="shared" ref="G13:H13" si="5">+G8-G12</f>
        <v>174.56979317999998</v>
      </c>
      <c r="H13" s="78">
        <f t="shared" si="5"/>
        <v>125.0121218</v>
      </c>
      <c r="I13" s="79">
        <f t="shared" si="0"/>
        <v>-0.28388457405629597</v>
      </c>
      <c r="J13" s="80">
        <f t="shared" si="1"/>
        <v>115.936457984</v>
      </c>
      <c r="K13" s="79">
        <f t="shared" si="2"/>
        <v>7.8281361823668183E-2</v>
      </c>
      <c r="L13" s="95" t="s">
        <v>346</v>
      </c>
      <c r="M13" s="97" t="s">
        <v>345</v>
      </c>
    </row>
    <row r="14" spans="1:13" x14ac:dyDescent="0.25">
      <c r="A14" s="13" t="s">
        <v>294</v>
      </c>
    </row>
    <row r="15" spans="1:13" x14ac:dyDescent="0.25">
      <c r="A15" s="13" t="s">
        <v>308</v>
      </c>
    </row>
    <row r="16" spans="1:13" x14ac:dyDescent="0.25">
      <c r="A16" s="13" t="s">
        <v>271</v>
      </c>
    </row>
  </sheetData>
  <mergeCells count="1">
    <mergeCell ref="A8:A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340CE-1980-491E-B017-771633FD54B9}">
  <sheetPr codeName="Sheet7"/>
  <dimension ref="A1:M17"/>
  <sheetViews>
    <sheetView workbookViewId="0">
      <selection activeCell="A17" sqref="A17"/>
    </sheetView>
  </sheetViews>
  <sheetFormatPr defaultRowHeight="15" x14ac:dyDescent="0.25"/>
  <cols>
    <col min="1" max="1" width="17.7109375" customWidth="1"/>
    <col min="9" max="9" width="10.7109375" customWidth="1"/>
  </cols>
  <sheetData>
    <row r="1" spans="1:13" x14ac:dyDescent="0.25">
      <c r="A1" s="124" t="s">
        <v>67</v>
      </c>
      <c r="B1" s="124"/>
      <c r="C1" s="124"/>
      <c r="D1" s="124"/>
      <c r="E1" s="124"/>
      <c r="F1" s="124"/>
      <c r="G1" s="124"/>
      <c r="H1" s="124"/>
      <c r="I1" s="124"/>
      <c r="J1" s="124"/>
      <c r="K1" s="124"/>
      <c r="L1" s="124"/>
      <c r="M1" s="124"/>
    </row>
    <row r="2" spans="1:13" x14ac:dyDescent="0.25">
      <c r="A2" s="118" t="s">
        <v>52</v>
      </c>
      <c r="B2" s="119" t="s">
        <v>53</v>
      </c>
      <c r="C2" s="120" t="s">
        <v>44</v>
      </c>
      <c r="D2" s="119" t="str">
        <f>+'Gross Value of Production'!C1</f>
        <v>2018-19</v>
      </c>
      <c r="E2" s="119" t="str">
        <f>+'Gross Value of Production'!D1</f>
        <v>2019-20</v>
      </c>
      <c r="F2" s="119" t="str">
        <f>+'Gross Value of Production'!E1</f>
        <v>2020-21</v>
      </c>
      <c r="G2" s="119" t="str">
        <f>+'Gross Value of Production'!F1</f>
        <v>2021-22s</v>
      </c>
      <c r="H2" s="119" t="str">
        <f>+'Gross Value of Production'!G1</f>
        <v>2022-23e</v>
      </c>
      <c r="I2" s="121" t="s">
        <v>47</v>
      </c>
      <c r="J2" s="121" t="s">
        <v>65</v>
      </c>
      <c r="K2" s="121" t="s">
        <v>49</v>
      </c>
      <c r="L2" s="122" t="s">
        <v>50</v>
      </c>
      <c r="M2" s="123" t="s">
        <v>51</v>
      </c>
    </row>
    <row r="3" spans="1:13" x14ac:dyDescent="0.25">
      <c r="A3" s="98" t="s">
        <v>315</v>
      </c>
      <c r="B3" s="76"/>
      <c r="C3" s="99" t="s">
        <v>45</v>
      </c>
      <c r="D3" s="78">
        <v>148.59703931000001</v>
      </c>
      <c r="E3" s="78">
        <v>122.26754841</v>
      </c>
      <c r="F3" s="78">
        <v>887.90232959000002</v>
      </c>
      <c r="G3" s="78">
        <v>1773.1878917674599</v>
      </c>
      <c r="H3" s="78">
        <v>1256.9092226884563</v>
      </c>
      <c r="I3" s="79">
        <f t="shared" ref="I3:I14" si="0">IF(ISBLANK(H3),"N/A",IF(ISNA(H3/G3-1),"N/A",IF(ISERROR(H3/G3-1),"N/A",H3/G3-1)))</f>
        <v>-0.29115846745625618</v>
      </c>
      <c r="J3" s="80">
        <f t="shared" ref="J3:J14" si="1">IF(ISBLANK(H3),"",IF(ISNA(AVERAGE(D3:H3)),"N/A",IF(ISERROR(AVERAGE(D3:H3)),"N/A",AVERAGE(D3:H3))))</f>
        <v>837.77280635318311</v>
      </c>
      <c r="K3" s="93">
        <f t="shared" ref="K3:K14" si="2">IF(ISBLANK(H3),"",IF(ISNA(H3/AVERAGE(D3:H3)-1),"N/A",IF(ISERROR(H3/AVERAGE(D3:H3)-1),"N/A",H3/AVERAGE(D3:H3)-1)))</f>
        <v>0.50029842596559071</v>
      </c>
      <c r="L3" s="95" t="s">
        <v>352</v>
      </c>
      <c r="M3" s="97" t="s">
        <v>353</v>
      </c>
    </row>
    <row r="4" spans="1:13" x14ac:dyDescent="0.25">
      <c r="A4" s="98" t="s">
        <v>54</v>
      </c>
      <c r="B4" s="86"/>
      <c r="C4" s="100" t="s">
        <v>55</v>
      </c>
      <c r="D4" s="106">
        <v>404.98500000000001</v>
      </c>
      <c r="E4" s="106">
        <v>327.07600000000002</v>
      </c>
      <c r="F4" s="106">
        <v>731</v>
      </c>
      <c r="G4" s="106">
        <v>940.71</v>
      </c>
      <c r="H4" s="106">
        <v>900</v>
      </c>
      <c r="I4" s="79">
        <f t="shared" si="0"/>
        <v>-4.3275823580061878E-2</v>
      </c>
      <c r="J4" s="80">
        <f t="shared" si="1"/>
        <v>660.75420000000008</v>
      </c>
      <c r="K4" s="93">
        <f t="shared" si="2"/>
        <v>0.36207987781235418</v>
      </c>
      <c r="L4" s="95" t="s">
        <v>355</v>
      </c>
      <c r="M4" s="97" t="s">
        <v>354</v>
      </c>
    </row>
    <row r="5" spans="1:13" x14ac:dyDescent="0.25">
      <c r="A5" s="98" t="s">
        <v>75</v>
      </c>
      <c r="B5" s="86"/>
      <c r="C5" s="99" t="s">
        <v>57</v>
      </c>
      <c r="D5" s="84">
        <v>1.5889840379555242</v>
      </c>
      <c r="E5" s="84">
        <v>1.0380076091961508</v>
      </c>
      <c r="F5" s="84">
        <v>0.64949319110584347</v>
      </c>
      <c r="G5" s="84">
        <v>0.63043145935501232</v>
      </c>
      <c r="H5" s="81">
        <v>2.25</v>
      </c>
      <c r="I5" s="79">
        <f t="shared" si="0"/>
        <v>2.5689843306708564</v>
      </c>
      <c r="J5" s="80">
        <f t="shared" si="1"/>
        <v>1.2313832595225063</v>
      </c>
      <c r="K5" s="93">
        <f t="shared" si="2"/>
        <v>0.82721340622454376</v>
      </c>
      <c r="L5" s="95" t="s">
        <v>355</v>
      </c>
      <c r="M5" s="97" t="s">
        <v>354</v>
      </c>
    </row>
    <row r="6" spans="1:13" x14ac:dyDescent="0.25">
      <c r="A6" s="98" t="s">
        <v>58</v>
      </c>
      <c r="B6" s="76"/>
      <c r="C6" s="100" t="s">
        <v>59</v>
      </c>
      <c r="D6" s="106">
        <v>263.03500000000003</v>
      </c>
      <c r="E6" s="106">
        <v>206.19900000000001</v>
      </c>
      <c r="F6" s="106">
        <v>1532.184</v>
      </c>
      <c r="G6" s="106">
        <v>2114.1439999999998</v>
      </c>
      <c r="H6" s="106">
        <v>1800</v>
      </c>
      <c r="I6" s="79">
        <f t="shared" si="0"/>
        <v>-0.14859158127355554</v>
      </c>
      <c r="J6" s="80">
        <f t="shared" si="1"/>
        <v>1183.1124</v>
      </c>
      <c r="K6" s="93">
        <f t="shared" si="2"/>
        <v>0.52141081439092352</v>
      </c>
      <c r="L6" s="95" t="s">
        <v>355</v>
      </c>
      <c r="M6" s="97" t="s">
        <v>354</v>
      </c>
    </row>
    <row r="7" spans="1:13" x14ac:dyDescent="0.25">
      <c r="A7" s="98" t="s">
        <v>74</v>
      </c>
      <c r="B7" s="76"/>
      <c r="C7" s="99" t="s">
        <v>61</v>
      </c>
      <c r="D7" s="78">
        <v>573.82399999999996</v>
      </c>
      <c r="E7" s="78">
        <v>596.50900000000001</v>
      </c>
      <c r="F7" s="78">
        <v>615.95600000000002</v>
      </c>
      <c r="G7" s="78">
        <v>880.00300000000004</v>
      </c>
      <c r="H7" s="78">
        <v>732.64800000000002</v>
      </c>
      <c r="I7" s="79">
        <f t="shared" si="0"/>
        <v>-0.16744829278991091</v>
      </c>
      <c r="J7" s="80">
        <f t="shared" si="1"/>
        <v>679.78800000000012</v>
      </c>
      <c r="K7" s="93">
        <f t="shared" si="2"/>
        <v>7.7759536796765838E-2</v>
      </c>
      <c r="L7" s="107" t="s">
        <v>357</v>
      </c>
      <c r="M7" s="97" t="s">
        <v>356</v>
      </c>
    </row>
    <row r="8" spans="1:13" x14ac:dyDescent="0.25">
      <c r="A8" s="98" t="s">
        <v>73</v>
      </c>
      <c r="B8" s="76"/>
      <c r="C8" s="99" t="s">
        <v>61</v>
      </c>
      <c r="D8" s="78">
        <v>971.851</v>
      </c>
      <c r="E8" s="78">
        <v>870.101</v>
      </c>
      <c r="F8" s="78">
        <v>627.26599999999996</v>
      </c>
      <c r="G8" s="78">
        <v>685.34400000000005</v>
      </c>
      <c r="H8" s="78" t="s">
        <v>151</v>
      </c>
      <c r="I8" s="79" t="str">
        <f t="shared" si="0"/>
        <v>N/A</v>
      </c>
      <c r="J8" s="80">
        <f t="shared" si="1"/>
        <v>788.64049999999997</v>
      </c>
      <c r="K8" s="93" t="str">
        <f t="shared" si="2"/>
        <v>N/A</v>
      </c>
      <c r="L8" s="107" t="s">
        <v>385</v>
      </c>
      <c r="M8" s="97" t="s">
        <v>384</v>
      </c>
    </row>
    <row r="9" spans="1:13" x14ac:dyDescent="0.25">
      <c r="A9" s="162" t="s">
        <v>62</v>
      </c>
      <c r="B9" s="86" t="s">
        <v>63</v>
      </c>
      <c r="C9" s="99" t="s">
        <v>45</v>
      </c>
      <c r="D9" s="78">
        <v>18.198782999999999</v>
      </c>
      <c r="E9" s="78">
        <v>3.7835220000000001</v>
      </c>
      <c r="F9" s="78">
        <v>448.80657000000002</v>
      </c>
      <c r="G9" s="78">
        <v>1007.001448</v>
      </c>
      <c r="H9" s="78">
        <v>866.21343899999999</v>
      </c>
      <c r="I9" s="79">
        <f t="shared" si="0"/>
        <v>-0.13980914255845245</v>
      </c>
      <c r="J9" s="80">
        <f t="shared" si="1"/>
        <v>468.80075239999996</v>
      </c>
      <c r="K9" s="93">
        <f t="shared" si="2"/>
        <v>0.84772194704353043</v>
      </c>
      <c r="L9" s="95" t="s">
        <v>346</v>
      </c>
      <c r="M9" s="97" t="s">
        <v>345</v>
      </c>
    </row>
    <row r="10" spans="1:13" x14ac:dyDescent="0.25">
      <c r="A10" s="162"/>
      <c r="B10" s="88" t="s">
        <v>411</v>
      </c>
      <c r="C10" s="99" t="s">
        <v>45</v>
      </c>
      <c r="D10" s="78">
        <v>0</v>
      </c>
      <c r="E10" s="78">
        <v>0</v>
      </c>
      <c r="F10" s="78">
        <v>145.15274199999999</v>
      </c>
      <c r="G10" s="78">
        <v>208.82745</v>
      </c>
      <c r="H10" s="78">
        <v>310.64214099999998</v>
      </c>
      <c r="I10" s="79">
        <f t="shared" si="0"/>
        <v>0.48755415535649171</v>
      </c>
      <c r="J10" s="80">
        <f t="shared" si="1"/>
        <v>132.92446660000002</v>
      </c>
      <c r="K10" s="93">
        <f t="shared" si="2"/>
        <v>1.3369824152448393</v>
      </c>
      <c r="L10" s="95" t="s">
        <v>346</v>
      </c>
      <c r="M10" s="97" t="s">
        <v>345</v>
      </c>
    </row>
    <row r="11" spans="1:13" x14ac:dyDescent="0.25">
      <c r="A11" s="162"/>
      <c r="B11" s="88" t="s">
        <v>412</v>
      </c>
      <c r="C11" s="99" t="s">
        <v>45</v>
      </c>
      <c r="D11" s="78">
        <v>0</v>
      </c>
      <c r="E11" s="78">
        <v>0.48569200000000001</v>
      </c>
      <c r="F11" s="78">
        <v>0.63753499999999996</v>
      </c>
      <c r="G11" s="78">
        <v>1.2099999999999999E-3</v>
      </c>
      <c r="H11" s="78">
        <v>163.35883899999999</v>
      </c>
      <c r="I11" s="79">
        <f t="shared" si="0"/>
        <v>135006.30495867768</v>
      </c>
      <c r="J11" s="80">
        <f t="shared" si="1"/>
        <v>32.896655199999998</v>
      </c>
      <c r="K11" s="93">
        <f t="shared" si="2"/>
        <v>3.9658191085639611</v>
      </c>
      <c r="L11" s="95" t="s">
        <v>346</v>
      </c>
      <c r="M11" s="97" t="s">
        <v>345</v>
      </c>
    </row>
    <row r="12" spans="1:13" x14ac:dyDescent="0.25">
      <c r="A12" s="162"/>
      <c r="B12" s="88" t="s">
        <v>413</v>
      </c>
      <c r="C12" s="99" t="s">
        <v>45</v>
      </c>
      <c r="D12" s="78">
        <v>0</v>
      </c>
      <c r="E12" s="78">
        <v>0</v>
      </c>
      <c r="F12" s="78">
        <v>124.311142</v>
      </c>
      <c r="G12" s="78">
        <v>454.89263799999998</v>
      </c>
      <c r="H12" s="78">
        <v>105.30793</v>
      </c>
      <c r="I12" s="79">
        <f t="shared" si="0"/>
        <v>-0.76849937501076904</v>
      </c>
      <c r="J12" s="80">
        <f t="shared" si="1"/>
        <v>136.902342</v>
      </c>
      <c r="K12" s="93">
        <f t="shared" si="2"/>
        <v>-0.23078065384739732</v>
      </c>
      <c r="L12" s="95" t="s">
        <v>346</v>
      </c>
      <c r="M12" s="97" t="s">
        <v>345</v>
      </c>
    </row>
    <row r="13" spans="1:13" x14ac:dyDescent="0.25">
      <c r="A13" s="98" t="s">
        <v>64</v>
      </c>
      <c r="B13" s="86" t="s">
        <v>63</v>
      </c>
      <c r="C13" s="99" t="s">
        <v>45</v>
      </c>
      <c r="D13" s="78">
        <v>18.58545462</v>
      </c>
      <c r="E13" s="78">
        <v>16.394418980000001</v>
      </c>
      <c r="F13" s="78">
        <v>11.732509179999999</v>
      </c>
      <c r="G13" s="78">
        <v>17.801829820000002</v>
      </c>
      <c r="H13" s="78">
        <v>23.487703510000003</v>
      </c>
      <c r="I13" s="79">
        <f t="shared" si="0"/>
        <v>0.31939827239624741</v>
      </c>
      <c r="J13" s="80">
        <f t="shared" si="1"/>
        <v>17.600383222000001</v>
      </c>
      <c r="K13" s="93">
        <f t="shared" si="2"/>
        <v>0.33449955115982988</v>
      </c>
      <c r="L13" s="95" t="s">
        <v>346</v>
      </c>
      <c r="M13" s="97" t="s">
        <v>345</v>
      </c>
    </row>
    <row r="14" spans="1:13" x14ac:dyDescent="0.25">
      <c r="A14" s="98" t="s">
        <v>301</v>
      </c>
      <c r="B14" s="86" t="s">
        <v>63</v>
      </c>
      <c r="C14" s="99" t="s">
        <v>45</v>
      </c>
      <c r="D14" s="78">
        <f>+D9-D13</f>
        <v>-0.38667162000000133</v>
      </c>
      <c r="E14" s="78">
        <f t="shared" ref="E14:H14" si="3">+E9-E13</f>
        <v>-12.610896980000001</v>
      </c>
      <c r="F14" s="78">
        <f t="shared" si="3"/>
        <v>437.07406082</v>
      </c>
      <c r="G14" s="78">
        <f t="shared" si="3"/>
        <v>989.19961818000002</v>
      </c>
      <c r="H14" s="78">
        <f t="shared" si="3"/>
        <v>842.72573549000003</v>
      </c>
      <c r="I14" s="79">
        <f t="shared" si="0"/>
        <v>-0.14807312902070568</v>
      </c>
      <c r="J14" s="80">
        <f t="shared" si="1"/>
        <v>451.20036917800007</v>
      </c>
      <c r="K14" s="93">
        <f t="shared" si="2"/>
        <v>0.86774167987779705</v>
      </c>
      <c r="L14" s="95" t="s">
        <v>346</v>
      </c>
      <c r="M14" s="97" t="s">
        <v>345</v>
      </c>
    </row>
    <row r="15" spans="1:13" x14ac:dyDescent="0.25">
      <c r="A15" s="13" t="s">
        <v>294</v>
      </c>
    </row>
    <row r="16" spans="1:13" x14ac:dyDescent="0.25">
      <c r="A16" s="13" t="s">
        <v>308</v>
      </c>
    </row>
    <row r="17" spans="1:1" x14ac:dyDescent="0.25">
      <c r="A17" s="13" t="s">
        <v>271</v>
      </c>
    </row>
  </sheetData>
  <mergeCells count="1">
    <mergeCell ref="A9:A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341F6-186B-4505-9F08-D4783BE22C3F}">
  <sheetPr codeName="Sheet8"/>
  <dimension ref="A1:M23"/>
  <sheetViews>
    <sheetView workbookViewId="0">
      <selection activeCell="A23" sqref="A23"/>
    </sheetView>
  </sheetViews>
  <sheetFormatPr defaultRowHeight="15" x14ac:dyDescent="0.25"/>
  <cols>
    <col min="1" max="1" width="19" customWidth="1"/>
    <col min="2" max="2" width="15.28515625" bestFit="1" customWidth="1"/>
    <col min="3" max="3" width="15.140625" bestFit="1" customWidth="1"/>
  </cols>
  <sheetData>
    <row r="1" spans="1:13" x14ac:dyDescent="0.25">
      <c r="A1" s="124" t="s">
        <v>12</v>
      </c>
      <c r="B1" s="124"/>
      <c r="C1" s="124"/>
      <c r="D1" s="124"/>
      <c r="E1" s="124"/>
      <c r="F1" s="124"/>
      <c r="G1" s="124"/>
      <c r="H1" s="124"/>
      <c r="I1" s="124"/>
      <c r="J1" s="124"/>
      <c r="K1" s="124"/>
      <c r="L1" s="124"/>
      <c r="M1" s="124"/>
    </row>
    <row r="2" spans="1:13" x14ac:dyDescent="0.25">
      <c r="A2" s="118" t="s">
        <v>52</v>
      </c>
      <c r="B2" s="119" t="s">
        <v>53</v>
      </c>
      <c r="C2" s="120" t="s">
        <v>44</v>
      </c>
      <c r="D2" s="119" t="str">
        <f>+'Gross Value of Production'!C1</f>
        <v>2018-19</v>
      </c>
      <c r="E2" s="119" t="str">
        <f>+'Gross Value of Production'!D1</f>
        <v>2019-20</v>
      </c>
      <c r="F2" s="119" t="str">
        <f>+'Gross Value of Production'!E1</f>
        <v>2020-21</v>
      </c>
      <c r="G2" s="119" t="str">
        <f>+'Gross Value of Production'!F1</f>
        <v>2021-22s</v>
      </c>
      <c r="H2" s="119" t="str">
        <f>+'Gross Value of Production'!G1</f>
        <v>2022-23e</v>
      </c>
      <c r="I2" s="121" t="s">
        <v>47</v>
      </c>
      <c r="J2" s="121" t="s">
        <v>65</v>
      </c>
      <c r="K2" s="121" t="s">
        <v>49</v>
      </c>
      <c r="L2" s="122" t="s">
        <v>50</v>
      </c>
      <c r="M2" s="123" t="s">
        <v>51</v>
      </c>
    </row>
    <row r="3" spans="1:13" x14ac:dyDescent="0.25">
      <c r="A3" s="98" t="s">
        <v>315</v>
      </c>
      <c r="B3" s="76"/>
      <c r="C3" s="99" t="s">
        <v>45</v>
      </c>
      <c r="D3" s="78">
        <v>849.24755063999999</v>
      </c>
      <c r="E3" s="78">
        <v>175.3822188</v>
      </c>
      <c r="F3" s="78">
        <v>915.92335097</v>
      </c>
      <c r="G3" s="78">
        <v>2982.5056955388341</v>
      </c>
      <c r="H3" s="78">
        <v>2254.7193091163876</v>
      </c>
      <c r="I3" s="79">
        <f t="shared" ref="I3:I19" si="0">IF(ISBLANK(H3),"N/A",IF(ISNA(H3/G3-1),"N/A",IF(ISERROR(H3/G3-1),"N/A",H3/G3-1)))</f>
        <v>-0.24401843976729132</v>
      </c>
      <c r="J3" s="80">
        <f t="shared" ref="J3:J19" si="1">IF(ISBLANK(H3),"",IF(ISNA(AVERAGE(D3:H3)),"N/A",IF(ISERROR(AVERAGE(D3:H3)),"N/A",AVERAGE(D3:H3))))</f>
        <v>1435.5556250130444</v>
      </c>
      <c r="K3" s="79">
        <f t="shared" ref="K3:K19" si="2">IF(ISBLANK(H3),"",IF(ISNA(H3/AVERAGE(D3:H3)-1),"N/A",IF(ISERROR(H3/AVERAGE(D3:H3)-1),"N/A",H3/AVERAGE(D3:H3)-1)))</f>
        <v>0.57062482973858986</v>
      </c>
      <c r="L3" s="95" t="s">
        <v>352</v>
      </c>
      <c r="M3" s="97" t="s">
        <v>353</v>
      </c>
    </row>
    <row r="4" spans="1:13" x14ac:dyDescent="0.25">
      <c r="A4" s="98" t="s">
        <v>351</v>
      </c>
      <c r="B4" s="86"/>
      <c r="C4" s="100" t="s">
        <v>55</v>
      </c>
      <c r="D4" s="106">
        <v>250.4</v>
      </c>
      <c r="E4" s="106">
        <v>54.628999999999998</v>
      </c>
      <c r="F4" s="106">
        <v>192.76</v>
      </c>
      <c r="G4" s="106">
        <v>406.459</v>
      </c>
      <c r="H4" s="106">
        <v>412.923</v>
      </c>
      <c r="I4" s="79">
        <f t="shared" si="0"/>
        <v>1.5903203029087765E-2</v>
      </c>
      <c r="J4" s="80">
        <f t="shared" si="1"/>
        <v>263.43420000000003</v>
      </c>
      <c r="K4" s="79">
        <f t="shared" si="2"/>
        <v>0.56746162798907651</v>
      </c>
      <c r="L4" s="95" t="s">
        <v>355</v>
      </c>
      <c r="M4" s="97" t="s">
        <v>354</v>
      </c>
    </row>
    <row r="5" spans="1:13" x14ac:dyDescent="0.25">
      <c r="A5" s="98" t="s">
        <v>56</v>
      </c>
      <c r="B5" s="86"/>
      <c r="C5" s="99" t="s">
        <v>71</v>
      </c>
      <c r="D5" s="84">
        <f>+D6/D4</f>
        <v>5.648759341881183</v>
      </c>
      <c r="E5" s="84">
        <f t="shared" ref="E5:H5" si="3">+E6/E4</f>
        <v>6.7157049679846832</v>
      </c>
      <c r="F5" s="84">
        <f t="shared" si="3"/>
        <v>8.8034880287554866</v>
      </c>
      <c r="G5" s="84">
        <f t="shared" si="3"/>
        <v>9.0508231980482829</v>
      </c>
      <c r="H5" s="84">
        <f t="shared" si="3"/>
        <v>7.8359907124368018</v>
      </c>
      <c r="I5" s="79">
        <f t="shared" si="0"/>
        <v>-0.13422342465748827</v>
      </c>
      <c r="J5" s="80">
        <f t="shared" si="1"/>
        <v>7.6109532498212884</v>
      </c>
      <c r="K5" s="79">
        <f t="shared" si="2"/>
        <v>2.9567579149273771E-2</v>
      </c>
      <c r="L5" s="95" t="s">
        <v>355</v>
      </c>
      <c r="M5" s="97" t="s">
        <v>354</v>
      </c>
    </row>
    <row r="6" spans="1:13" x14ac:dyDescent="0.25">
      <c r="A6" s="98" t="s">
        <v>58</v>
      </c>
      <c r="B6" s="76"/>
      <c r="C6" s="100" t="s">
        <v>70</v>
      </c>
      <c r="D6" s="106">
        <v>1414.4493392070483</v>
      </c>
      <c r="E6" s="106">
        <v>366.87224669603523</v>
      </c>
      <c r="F6" s="106">
        <v>1696.9603524229074</v>
      </c>
      <c r="G6" s="106">
        <v>3678.7885462555068</v>
      </c>
      <c r="H6" s="106">
        <v>3235.6607929515417</v>
      </c>
      <c r="I6" s="79">
        <f t="shared" si="0"/>
        <v>-0.12045480400198794</v>
      </c>
      <c r="J6" s="80">
        <f t="shared" si="1"/>
        <v>2078.5462555066078</v>
      </c>
      <c r="K6" s="79">
        <f t="shared" si="2"/>
        <v>0.55669414831613073</v>
      </c>
      <c r="L6" s="95" t="s">
        <v>355</v>
      </c>
      <c r="M6" s="97" t="s">
        <v>354</v>
      </c>
    </row>
    <row r="7" spans="1:13" x14ac:dyDescent="0.25">
      <c r="A7" s="98" t="s">
        <v>60</v>
      </c>
      <c r="B7" s="76"/>
      <c r="C7" s="99" t="s">
        <v>72</v>
      </c>
      <c r="D7" s="78">
        <v>619.2650799999999</v>
      </c>
      <c r="E7" s="78">
        <v>498.90967999999998</v>
      </c>
      <c r="F7" s="78">
        <v>587.67349000000002</v>
      </c>
      <c r="G7" s="78">
        <v>747.49511000000007</v>
      </c>
      <c r="H7" s="78">
        <v>636.65554999999995</v>
      </c>
      <c r="I7" s="79">
        <f t="shared" si="0"/>
        <v>-0.14828131785370491</v>
      </c>
      <c r="J7" s="80">
        <f>IF(ISBLANK(G7),"",IF(ISNA(AVERAGE(D7:G7)),"N/A",IF(ISERROR(AVERAGE(D7:G7)),"N/A",AVERAGE(D7:G7))))</f>
        <v>613.33583999999996</v>
      </c>
      <c r="K7" s="79">
        <f>IF(ISBLANK(G7),"",IF(ISNA(G7/AVERAGE(D7:G7)-1),"N/A",IF(ISERROR(G7/AVERAGE(D7:G7)-1),"N/A",G7/AVERAGE(D7:G7)-1)))</f>
        <v>0.2187370462485938</v>
      </c>
      <c r="L7" s="107" t="s">
        <v>357</v>
      </c>
      <c r="M7" s="97" t="s">
        <v>356</v>
      </c>
    </row>
    <row r="8" spans="1:13" x14ac:dyDescent="0.25">
      <c r="A8" s="161" t="s">
        <v>319</v>
      </c>
      <c r="B8" s="76" t="s">
        <v>63</v>
      </c>
      <c r="C8" s="99" t="s">
        <v>45</v>
      </c>
      <c r="D8" s="78">
        <v>0.113216</v>
      </c>
      <c r="E8" s="78">
        <v>2.7900000000000001E-4</v>
      </c>
      <c r="F8" s="78">
        <v>8.4999999999999995E-4</v>
      </c>
      <c r="G8" s="78">
        <v>9.7540000000000005E-3</v>
      </c>
      <c r="H8" s="78">
        <v>1.4662E-2</v>
      </c>
      <c r="I8" s="79">
        <f t="shared" ref="I8:I13" si="4">IF(ISBLANK(H8),"N/A",IF(ISNA(H8/G8-1),"N/A",IF(ISERROR(H8/G8-1),"N/A",H8/G8-1)))</f>
        <v>0.50317818330941133</v>
      </c>
      <c r="J8" s="80">
        <f t="shared" ref="J8:J13" si="5">IF(ISBLANK(H8),"",IF(ISNA(AVERAGE(D8:H8)),"N/A",IF(ISERROR(AVERAGE(D8:H8)),"N/A",AVERAGE(D8:H8))))</f>
        <v>2.7752199999999998E-2</v>
      </c>
      <c r="K8" s="79">
        <f t="shared" ref="K8:K13" si="6">IF(ISBLANK(H8),"",IF(ISNA(H8/AVERAGE(D8:H8)-1),"N/A",IF(ISERROR(H8/AVERAGE(D8:H8)-1),"N/A",H8/AVERAGE(D8:H8)-1)))</f>
        <v>-0.47168152434761923</v>
      </c>
      <c r="L8" s="95" t="s">
        <v>346</v>
      </c>
      <c r="M8" s="97" t="s">
        <v>345</v>
      </c>
    </row>
    <row r="9" spans="1:13" x14ac:dyDescent="0.25">
      <c r="A9" s="161"/>
      <c r="B9" s="117" t="s">
        <v>414</v>
      </c>
      <c r="C9" s="99" t="s">
        <v>45</v>
      </c>
      <c r="D9" s="78">
        <v>0</v>
      </c>
      <c r="E9" s="78">
        <v>2.7900000000000001E-4</v>
      </c>
      <c r="F9" s="78">
        <v>0</v>
      </c>
      <c r="G9" s="78">
        <v>0</v>
      </c>
      <c r="H9" s="78">
        <v>1.4446000000000001E-2</v>
      </c>
      <c r="I9" s="79" t="str">
        <f t="shared" si="4"/>
        <v>N/A</v>
      </c>
      <c r="J9" s="80">
        <f t="shared" si="5"/>
        <v>2.9450000000000001E-3</v>
      </c>
      <c r="K9" s="79">
        <f t="shared" si="6"/>
        <v>3.905263157894737</v>
      </c>
      <c r="L9" s="95" t="s">
        <v>346</v>
      </c>
      <c r="M9" s="97" t="s">
        <v>345</v>
      </c>
    </row>
    <row r="10" spans="1:13" x14ac:dyDescent="0.25">
      <c r="A10" s="161"/>
      <c r="B10" s="117" t="s">
        <v>415</v>
      </c>
      <c r="C10" s="99" t="s">
        <v>45</v>
      </c>
      <c r="D10" s="78">
        <v>0</v>
      </c>
      <c r="E10" s="78">
        <v>0</v>
      </c>
      <c r="F10" s="78">
        <v>0</v>
      </c>
      <c r="G10" s="78">
        <v>9.3939999999999996E-3</v>
      </c>
      <c r="H10" s="78">
        <v>0</v>
      </c>
      <c r="I10" s="79">
        <f t="shared" si="4"/>
        <v>-1</v>
      </c>
      <c r="J10" s="80">
        <f t="shared" si="5"/>
        <v>1.8787999999999999E-3</v>
      </c>
      <c r="K10" s="79">
        <f t="shared" si="6"/>
        <v>-1</v>
      </c>
      <c r="L10" s="95" t="s">
        <v>346</v>
      </c>
      <c r="M10" s="97" t="s">
        <v>345</v>
      </c>
    </row>
    <row r="11" spans="1:13" x14ac:dyDescent="0.25">
      <c r="A11" s="161"/>
      <c r="B11" s="117" t="s">
        <v>410</v>
      </c>
      <c r="C11" s="99" t="s">
        <v>45</v>
      </c>
      <c r="D11" s="78">
        <v>0.10734399999999999</v>
      </c>
      <c r="E11" s="78">
        <v>0</v>
      </c>
      <c r="F11" s="78">
        <v>0</v>
      </c>
      <c r="G11" s="78">
        <v>0</v>
      </c>
      <c r="H11" s="78">
        <v>0</v>
      </c>
      <c r="I11" s="79" t="str">
        <f t="shared" si="4"/>
        <v>N/A</v>
      </c>
      <c r="J11" s="80">
        <f t="shared" si="5"/>
        <v>2.14688E-2</v>
      </c>
      <c r="K11" s="79">
        <f t="shared" si="6"/>
        <v>-1</v>
      </c>
      <c r="L11" s="95" t="s">
        <v>346</v>
      </c>
      <c r="M11" s="97" t="s">
        <v>345</v>
      </c>
    </row>
    <row r="12" spans="1:13" x14ac:dyDescent="0.25">
      <c r="A12" s="98" t="s">
        <v>256</v>
      </c>
      <c r="B12" s="76" t="s">
        <v>63</v>
      </c>
      <c r="C12" s="99" t="s">
        <v>45</v>
      </c>
      <c r="D12" s="78">
        <v>4.6690769999999999E-2</v>
      </c>
      <c r="E12" s="78">
        <v>1.3557669999999999E-2</v>
      </c>
      <c r="F12" s="78">
        <v>2.2016560000000001E-2</v>
      </c>
      <c r="G12" s="78">
        <v>5.7569799999999992E-3</v>
      </c>
      <c r="H12" s="78">
        <v>8.1355190000000008E-2</v>
      </c>
      <c r="I12" s="79">
        <f t="shared" si="4"/>
        <v>13.131574193413911</v>
      </c>
      <c r="J12" s="80">
        <f t="shared" si="5"/>
        <v>3.3875434000000003E-2</v>
      </c>
      <c r="K12" s="79">
        <f t="shared" si="6"/>
        <v>1.4015984562736525</v>
      </c>
      <c r="L12" s="95" t="s">
        <v>346</v>
      </c>
      <c r="M12" s="97" t="s">
        <v>345</v>
      </c>
    </row>
    <row r="13" spans="1:13" x14ac:dyDescent="0.25">
      <c r="A13" s="98" t="s">
        <v>301</v>
      </c>
      <c r="B13" s="76" t="s">
        <v>63</v>
      </c>
      <c r="C13" s="99" t="s">
        <v>45</v>
      </c>
      <c r="D13" s="78">
        <f>+D8-D12</f>
        <v>6.6525229999999991E-2</v>
      </c>
      <c r="E13" s="78">
        <f t="shared" ref="E13:H13" si="7">+E8-E12</f>
        <v>-1.3278669999999999E-2</v>
      </c>
      <c r="F13" s="78">
        <f t="shared" si="7"/>
        <v>-2.1166560000000001E-2</v>
      </c>
      <c r="G13" s="78">
        <f t="shared" si="7"/>
        <v>3.9970200000000013E-3</v>
      </c>
      <c r="H13" s="78">
        <f t="shared" si="7"/>
        <v>-6.6693190000000013E-2</v>
      </c>
      <c r="I13" s="79">
        <f t="shared" si="4"/>
        <v>-17.685728367633885</v>
      </c>
      <c r="J13" s="80">
        <f t="shared" si="5"/>
        <v>-6.1232340000000034E-3</v>
      </c>
      <c r="K13" s="79">
        <f t="shared" si="6"/>
        <v>9.8918244835980431</v>
      </c>
      <c r="L13" s="95" t="s">
        <v>346</v>
      </c>
      <c r="M13" s="97" t="s">
        <v>345</v>
      </c>
    </row>
    <row r="14" spans="1:13" x14ac:dyDescent="0.25">
      <c r="A14" s="160" t="s">
        <v>88</v>
      </c>
      <c r="B14" s="86" t="s">
        <v>63</v>
      </c>
      <c r="C14" s="99" t="s">
        <v>45</v>
      </c>
      <c r="D14" s="78">
        <v>2555.625974</v>
      </c>
      <c r="E14" s="78">
        <v>963.52707699999996</v>
      </c>
      <c r="F14" s="78">
        <v>629.39747699999998</v>
      </c>
      <c r="G14" s="78">
        <v>2229.575519</v>
      </c>
      <c r="H14" s="78">
        <v>4883.5290050000003</v>
      </c>
      <c r="I14" s="79">
        <f t="shared" si="0"/>
        <v>1.1903402523859521</v>
      </c>
      <c r="J14" s="80">
        <f t="shared" si="1"/>
        <v>2252.3310104000002</v>
      </c>
      <c r="K14" s="79">
        <f t="shared" si="2"/>
        <v>1.1682110588766061</v>
      </c>
      <c r="L14" s="95" t="s">
        <v>346</v>
      </c>
      <c r="M14" s="97" t="s">
        <v>345</v>
      </c>
    </row>
    <row r="15" spans="1:13" x14ac:dyDescent="0.25">
      <c r="A15" s="160"/>
      <c r="B15" s="112" t="s">
        <v>405</v>
      </c>
      <c r="C15" s="99" t="s">
        <v>45</v>
      </c>
      <c r="D15" s="78">
        <v>374.24067500000001</v>
      </c>
      <c r="E15" s="78">
        <v>92.863425000000007</v>
      </c>
      <c r="F15" s="78">
        <v>177.583371</v>
      </c>
      <c r="G15" s="78">
        <v>856.14306199999999</v>
      </c>
      <c r="H15" s="78">
        <v>1960.707496</v>
      </c>
      <c r="I15" s="79">
        <f t="shared" si="0"/>
        <v>1.2901633886043218</v>
      </c>
      <c r="J15" s="80">
        <f t="shared" si="1"/>
        <v>692.30760579999992</v>
      </c>
      <c r="K15" s="79">
        <f t="shared" si="2"/>
        <v>1.832133403668581</v>
      </c>
      <c r="L15" s="95" t="s">
        <v>346</v>
      </c>
      <c r="M15" s="97" t="s">
        <v>345</v>
      </c>
    </row>
    <row r="16" spans="1:13" x14ac:dyDescent="0.25">
      <c r="A16" s="160"/>
      <c r="B16" s="112" t="s">
        <v>406</v>
      </c>
      <c r="C16" s="99" t="s">
        <v>45</v>
      </c>
      <c r="D16" s="78">
        <v>71.164237</v>
      </c>
      <c r="E16" s="78">
        <v>97.050227000000007</v>
      </c>
      <c r="F16" s="78">
        <v>82.344220000000007</v>
      </c>
      <c r="G16" s="78">
        <v>473.73883899999998</v>
      </c>
      <c r="H16" s="78">
        <v>531.436598</v>
      </c>
      <c r="I16" s="79">
        <f t="shared" si="0"/>
        <v>0.12179233419365065</v>
      </c>
      <c r="J16" s="80">
        <f t="shared" si="1"/>
        <v>251.1468242</v>
      </c>
      <c r="K16" s="79">
        <f t="shared" si="2"/>
        <v>1.1160394908151101</v>
      </c>
      <c r="L16" s="95" t="s">
        <v>346</v>
      </c>
      <c r="M16" s="97" t="s">
        <v>345</v>
      </c>
    </row>
    <row r="17" spans="1:13" x14ac:dyDescent="0.25">
      <c r="A17" s="160"/>
      <c r="B17" s="112" t="s">
        <v>330</v>
      </c>
      <c r="C17" s="99" t="s">
        <v>45</v>
      </c>
      <c r="D17" s="78">
        <v>899.50391100000002</v>
      </c>
      <c r="E17" s="78">
        <v>611.518597</v>
      </c>
      <c r="F17" s="78">
        <v>202.03745900000001</v>
      </c>
      <c r="G17" s="78">
        <v>64.798924</v>
      </c>
      <c r="H17" s="78">
        <v>188.440732</v>
      </c>
      <c r="I17" s="79">
        <f t="shared" si="0"/>
        <v>1.9080842762142161</v>
      </c>
      <c r="J17" s="80">
        <f t="shared" si="1"/>
        <v>393.25992460000003</v>
      </c>
      <c r="K17" s="79">
        <f t="shared" si="2"/>
        <v>-0.52082396345961168</v>
      </c>
      <c r="L17" s="95" t="s">
        <v>346</v>
      </c>
      <c r="M17" s="97" t="s">
        <v>345</v>
      </c>
    </row>
    <row r="18" spans="1:13" x14ac:dyDescent="0.25">
      <c r="A18" s="98" t="s">
        <v>248</v>
      </c>
      <c r="B18" s="86" t="s">
        <v>63</v>
      </c>
      <c r="C18" s="99" t="s">
        <v>45</v>
      </c>
      <c r="D18" s="78">
        <v>0.21883460999999998</v>
      </c>
      <c r="E18" s="78">
        <v>0.18180476999999995</v>
      </c>
      <c r="F18" s="78">
        <v>0.32597077999999996</v>
      </c>
      <c r="G18" s="78">
        <v>0.48642308999999995</v>
      </c>
      <c r="H18" s="78">
        <v>0.7748507899999999</v>
      </c>
      <c r="I18" s="79">
        <f t="shared" si="0"/>
        <v>0.59295643222857697</v>
      </c>
      <c r="J18" s="80">
        <f t="shared" si="1"/>
        <v>0.39757680799999995</v>
      </c>
      <c r="K18" s="79">
        <f t="shared" si="2"/>
        <v>0.94893357562244929</v>
      </c>
      <c r="L18" s="95" t="s">
        <v>346</v>
      </c>
      <c r="M18" s="97" t="s">
        <v>345</v>
      </c>
    </row>
    <row r="19" spans="1:13" x14ac:dyDescent="0.25">
      <c r="A19" s="98" t="s">
        <v>301</v>
      </c>
      <c r="B19" s="86" t="s">
        <v>63</v>
      </c>
      <c r="C19" s="99" t="s">
        <v>45</v>
      </c>
      <c r="D19" s="78">
        <f>+D14-D18</f>
        <v>2555.4071393899999</v>
      </c>
      <c r="E19" s="78">
        <f t="shared" ref="E19:H19" si="8">+E14-E18</f>
        <v>963.34527222999998</v>
      </c>
      <c r="F19" s="78">
        <f t="shared" si="8"/>
        <v>629.07150621999995</v>
      </c>
      <c r="G19" s="78">
        <f t="shared" si="8"/>
        <v>2229.0890959100002</v>
      </c>
      <c r="H19" s="78">
        <f t="shared" si="8"/>
        <v>4882.7541542100007</v>
      </c>
      <c r="I19" s="79">
        <f t="shared" si="0"/>
        <v>1.1904706111429215</v>
      </c>
      <c r="J19" s="80">
        <f t="shared" si="1"/>
        <v>2251.9334335920003</v>
      </c>
      <c r="K19" s="79">
        <f t="shared" si="2"/>
        <v>1.168249772117663</v>
      </c>
      <c r="L19" s="95" t="s">
        <v>346</v>
      </c>
      <c r="M19" s="97" t="s">
        <v>345</v>
      </c>
    </row>
    <row r="20" spans="1:13" x14ac:dyDescent="0.25">
      <c r="A20" s="13" t="s">
        <v>294</v>
      </c>
    </row>
    <row r="21" spans="1:13" x14ac:dyDescent="0.25">
      <c r="A21" s="13" t="s">
        <v>308</v>
      </c>
    </row>
    <row r="22" spans="1:13" x14ac:dyDescent="0.25">
      <c r="A22" s="13" t="s">
        <v>320</v>
      </c>
    </row>
    <row r="23" spans="1:13" x14ac:dyDescent="0.25">
      <c r="A23" s="13" t="s">
        <v>271</v>
      </c>
    </row>
  </sheetData>
  <mergeCells count="2">
    <mergeCell ref="A14:A17"/>
    <mergeCell ref="A8:A11"/>
  </mergeCells>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1383B-AD11-4324-97C5-6D9B2B533E3A}">
  <sheetPr codeName="Sheet9"/>
  <dimension ref="A1:M17"/>
  <sheetViews>
    <sheetView workbookViewId="0">
      <selection activeCell="A17" sqref="A17"/>
    </sheetView>
  </sheetViews>
  <sheetFormatPr defaultRowHeight="15" x14ac:dyDescent="0.25"/>
  <cols>
    <col min="1" max="1" width="13.7109375" bestFit="1" customWidth="1"/>
    <col min="2" max="2" width="16.42578125" bestFit="1" customWidth="1"/>
  </cols>
  <sheetData>
    <row r="1" spans="1:13" x14ac:dyDescent="0.25">
      <c r="A1" s="124" t="s">
        <v>68</v>
      </c>
      <c r="B1" s="124"/>
      <c r="C1" s="124"/>
      <c r="D1" s="124"/>
      <c r="E1" s="124"/>
      <c r="F1" s="124"/>
      <c r="G1" s="124"/>
      <c r="H1" s="124"/>
      <c r="I1" s="124"/>
      <c r="J1" s="124"/>
      <c r="K1" s="124"/>
      <c r="L1" s="124"/>
      <c r="M1" s="124"/>
    </row>
    <row r="2" spans="1:13" x14ac:dyDescent="0.25">
      <c r="A2" s="118" t="s">
        <v>52</v>
      </c>
      <c r="B2" s="119" t="s">
        <v>53</v>
      </c>
      <c r="C2" s="120" t="s">
        <v>44</v>
      </c>
      <c r="D2" s="119" t="str">
        <f>+'Gross Value of Production'!C1</f>
        <v>2018-19</v>
      </c>
      <c r="E2" s="119" t="str">
        <f>+'Gross Value of Production'!D1</f>
        <v>2019-20</v>
      </c>
      <c r="F2" s="119" t="str">
        <f>+'Gross Value of Production'!E1</f>
        <v>2020-21</v>
      </c>
      <c r="G2" s="119" t="str">
        <f>+'Gross Value of Production'!F1</f>
        <v>2021-22s</v>
      </c>
      <c r="H2" s="119" t="str">
        <f>+'Gross Value of Production'!G1</f>
        <v>2022-23e</v>
      </c>
      <c r="I2" s="121" t="s">
        <v>47</v>
      </c>
      <c r="J2" s="121" t="s">
        <v>65</v>
      </c>
      <c r="K2" s="121" t="s">
        <v>49</v>
      </c>
      <c r="L2" s="122" t="s">
        <v>50</v>
      </c>
      <c r="M2" s="123" t="s">
        <v>51</v>
      </c>
    </row>
    <row r="3" spans="1:13" x14ac:dyDescent="0.25">
      <c r="A3" s="98" t="s">
        <v>315</v>
      </c>
      <c r="B3" s="76"/>
      <c r="C3" s="99" t="s">
        <v>45</v>
      </c>
      <c r="D3" s="78">
        <v>72.715206010000003</v>
      </c>
      <c r="E3" s="78">
        <v>65.325936999999996</v>
      </c>
      <c r="F3" s="78">
        <v>73.535230040000002</v>
      </c>
      <c r="G3" s="78">
        <v>70.512253048307514</v>
      </c>
      <c r="H3" s="78">
        <v>70.289069206997155</v>
      </c>
      <c r="I3" s="79">
        <f t="shared" ref="I3:I14" si="0">IF(ISBLANK(H3),"N/A",IF(ISNA(H3/G3-1),"N/A",IF(ISERROR(H3/G3-1),"N/A",H3/G3-1)))</f>
        <v>-3.1651781309194327E-3</v>
      </c>
      <c r="J3" s="80">
        <f t="shared" ref="J3:J14" si="1">IF(ISBLANK(H3),"",IF(ISNA(AVERAGE(D3:H3)),"N/A",IF(ISERROR(AVERAGE(D3:H3)),"N/A",AVERAGE(D3:H3))))</f>
        <v>70.475539061060928</v>
      </c>
      <c r="K3" s="79">
        <f t="shared" ref="K3:K14" si="2">IF(ISBLANK(H3),"",IF(ISNA(H3/AVERAGE(D3:H3)-1),"N/A",IF(ISERROR(H3/AVERAGE(D3:H3)-1),"N/A",H3/AVERAGE(D3:H3)-1)))</f>
        <v>-2.6458804934037516E-3</v>
      </c>
      <c r="L3" s="95" t="s">
        <v>352</v>
      </c>
      <c r="M3" s="97" t="s">
        <v>353</v>
      </c>
    </row>
    <row r="4" spans="1:13" x14ac:dyDescent="0.25">
      <c r="A4" s="98" t="s">
        <v>54</v>
      </c>
      <c r="B4" s="86"/>
      <c r="C4" s="100" t="s">
        <v>55</v>
      </c>
      <c r="D4" s="106">
        <v>14.353999999999999</v>
      </c>
      <c r="E4" s="106">
        <v>14.712</v>
      </c>
      <c r="F4" s="106">
        <v>14.712</v>
      </c>
      <c r="G4" s="106">
        <v>13.923</v>
      </c>
      <c r="H4" s="106">
        <v>12.651</v>
      </c>
      <c r="I4" s="79">
        <f t="shared" si="0"/>
        <v>-9.1359620771385486E-2</v>
      </c>
      <c r="J4" s="80">
        <f t="shared" si="1"/>
        <v>14.070400000000001</v>
      </c>
      <c r="K4" s="79">
        <f t="shared" si="2"/>
        <v>-0.10087843984534917</v>
      </c>
      <c r="L4" s="103" t="s">
        <v>379</v>
      </c>
      <c r="M4" s="104" t="s">
        <v>380</v>
      </c>
    </row>
    <row r="5" spans="1:13" x14ac:dyDescent="0.25">
      <c r="A5" s="98" t="s">
        <v>56</v>
      </c>
      <c r="B5" s="86"/>
      <c r="C5" s="99" t="s">
        <v>90</v>
      </c>
      <c r="D5" s="84">
        <f>+D6/D4</f>
        <v>139.57008499372998</v>
      </c>
      <c r="E5" s="84">
        <f>+E6/E4</f>
        <v>108.81423327895595</v>
      </c>
      <c r="F5" s="84">
        <f>+F6/F4</f>
        <v>118.54458945078848</v>
      </c>
      <c r="G5" s="84">
        <f>+G6/G4</f>
        <v>115.67212526036054</v>
      </c>
      <c r="H5" s="84">
        <f>+H6/H4</f>
        <v>104.37483202908861</v>
      </c>
      <c r="I5" s="79">
        <f t="shared" si="0"/>
        <v>-9.7666513914596353E-2</v>
      </c>
      <c r="J5" s="80">
        <f t="shared" si="1"/>
        <v>117.39517300258471</v>
      </c>
      <c r="K5" s="79">
        <f t="shared" si="2"/>
        <v>-0.1109103606262366</v>
      </c>
      <c r="L5" s="103" t="s">
        <v>379</v>
      </c>
      <c r="M5" s="104" t="s">
        <v>380</v>
      </c>
    </row>
    <row r="6" spans="1:13" x14ac:dyDescent="0.25">
      <c r="A6" s="98" t="s">
        <v>58</v>
      </c>
      <c r="B6" s="76"/>
      <c r="C6" s="100" t="s">
        <v>91</v>
      </c>
      <c r="D6" s="106">
        <v>2003.3889999999999</v>
      </c>
      <c r="E6" s="106">
        <v>1600.875</v>
      </c>
      <c r="F6" s="106">
        <v>1744.028</v>
      </c>
      <c r="G6" s="106">
        <v>1610.5029999999999</v>
      </c>
      <c r="H6" s="106">
        <v>1320.4459999999999</v>
      </c>
      <c r="I6" s="79">
        <f t="shared" si="0"/>
        <v>-0.18010335901268115</v>
      </c>
      <c r="J6" s="80">
        <f t="shared" si="1"/>
        <v>1655.8481999999999</v>
      </c>
      <c r="K6" s="79">
        <f t="shared" si="2"/>
        <v>-0.20255612803154299</v>
      </c>
      <c r="L6" s="103" t="s">
        <v>379</v>
      </c>
      <c r="M6" s="104" t="s">
        <v>380</v>
      </c>
    </row>
    <row r="7" spans="1:13" x14ac:dyDescent="0.25">
      <c r="A7" s="98" t="s">
        <v>206</v>
      </c>
      <c r="B7" s="76"/>
      <c r="C7" s="100" t="s">
        <v>207</v>
      </c>
      <c r="D7" s="106">
        <v>245.67400000000001</v>
      </c>
      <c r="E7" s="106">
        <v>198.38900000000001</v>
      </c>
      <c r="F7" s="106">
        <v>210.10300000000001</v>
      </c>
      <c r="G7" s="106">
        <v>200.852</v>
      </c>
      <c r="H7" s="85" t="s">
        <v>151</v>
      </c>
      <c r="I7" s="79" t="str">
        <f t="shared" si="0"/>
        <v>N/A</v>
      </c>
      <c r="J7" s="80">
        <f t="shared" si="1"/>
        <v>213.75449999999998</v>
      </c>
      <c r="K7" s="79" t="str">
        <f t="shared" si="2"/>
        <v>N/A</v>
      </c>
      <c r="L7" s="103" t="s">
        <v>379</v>
      </c>
      <c r="M7" s="104" t="s">
        <v>380</v>
      </c>
    </row>
    <row r="8" spans="1:13" x14ac:dyDescent="0.25">
      <c r="A8" s="98" t="s">
        <v>60</v>
      </c>
      <c r="B8" s="76"/>
      <c r="C8" s="99" t="s">
        <v>61</v>
      </c>
      <c r="D8" s="78">
        <v>39.026000000000003</v>
      </c>
      <c r="E8" s="78">
        <v>41.387</v>
      </c>
      <c r="F8" s="78">
        <v>41.26</v>
      </c>
      <c r="G8" s="78">
        <v>48.033999999999999</v>
      </c>
      <c r="H8" s="78">
        <v>58.4</v>
      </c>
      <c r="I8" s="79">
        <f t="shared" si="0"/>
        <v>0.21580547112462001</v>
      </c>
      <c r="J8" s="80">
        <f t="shared" si="1"/>
        <v>45.621400000000001</v>
      </c>
      <c r="K8" s="79">
        <f t="shared" si="2"/>
        <v>0.2801010052300017</v>
      </c>
      <c r="L8" s="107" t="s">
        <v>357</v>
      </c>
      <c r="M8" s="97" t="s">
        <v>356</v>
      </c>
    </row>
    <row r="9" spans="1:13" x14ac:dyDescent="0.25">
      <c r="A9" s="162" t="s">
        <v>62</v>
      </c>
      <c r="B9" s="86" t="s">
        <v>63</v>
      </c>
      <c r="C9" s="99" t="s">
        <v>45</v>
      </c>
      <c r="D9" s="78">
        <v>1.925125</v>
      </c>
      <c r="E9" s="78">
        <v>2.7363599999999999</v>
      </c>
      <c r="F9" s="78">
        <v>1.7270749999999999</v>
      </c>
      <c r="G9" s="78">
        <v>2.3368959999999999</v>
      </c>
      <c r="H9" s="78">
        <v>3.1451389999999999</v>
      </c>
      <c r="I9" s="79">
        <f t="shared" si="0"/>
        <v>0.34586177562030995</v>
      </c>
      <c r="J9" s="80">
        <f t="shared" si="1"/>
        <v>2.3741189999999999</v>
      </c>
      <c r="K9" s="79">
        <f t="shared" si="2"/>
        <v>0.32476046904135814</v>
      </c>
      <c r="L9" s="95" t="s">
        <v>346</v>
      </c>
      <c r="M9" s="97" t="s">
        <v>345</v>
      </c>
    </row>
    <row r="10" spans="1:13" x14ac:dyDescent="0.25">
      <c r="A10" s="162"/>
      <c r="B10" s="112" t="s">
        <v>414</v>
      </c>
      <c r="C10" s="99" t="s">
        <v>45</v>
      </c>
      <c r="D10" s="78">
        <v>0.35948400000000003</v>
      </c>
      <c r="E10" s="78">
        <v>1.6306259999999999</v>
      </c>
      <c r="F10" s="78">
        <v>1.4304140000000001</v>
      </c>
      <c r="G10" s="78">
        <v>1.6573450000000001</v>
      </c>
      <c r="H10" s="78">
        <v>2.1977730000000002</v>
      </c>
      <c r="I10" s="79">
        <f t="shared" si="0"/>
        <v>0.32608056862029344</v>
      </c>
      <c r="J10" s="80">
        <f t="shared" si="1"/>
        <v>1.4551284000000002</v>
      </c>
      <c r="K10" s="79">
        <f t="shared" si="2"/>
        <v>0.51036362151958548</v>
      </c>
      <c r="L10" s="95" t="s">
        <v>346</v>
      </c>
      <c r="M10" s="97" t="s">
        <v>345</v>
      </c>
    </row>
    <row r="11" spans="1:13" x14ac:dyDescent="0.25">
      <c r="A11" s="162"/>
      <c r="B11" s="112" t="s">
        <v>416</v>
      </c>
      <c r="C11" s="99" t="s">
        <v>45</v>
      </c>
      <c r="D11" s="78">
        <v>0.28189199999999998</v>
      </c>
      <c r="E11" s="78">
        <v>0.107414</v>
      </c>
      <c r="F11" s="78">
        <v>6.6480000000000003E-3</v>
      </c>
      <c r="G11" s="78">
        <v>1.1076000000000001E-2</v>
      </c>
      <c r="H11" s="78">
        <v>0.21870100000000001</v>
      </c>
      <c r="I11" s="79">
        <f t="shared" si="0"/>
        <v>18.745485734922354</v>
      </c>
      <c r="J11" s="80">
        <f t="shared" si="1"/>
        <v>0.12514619999999999</v>
      </c>
      <c r="K11" s="79">
        <f t="shared" si="2"/>
        <v>0.74756404908818674</v>
      </c>
      <c r="L11" s="95" t="s">
        <v>346</v>
      </c>
      <c r="M11" s="97" t="s">
        <v>345</v>
      </c>
    </row>
    <row r="12" spans="1:13" x14ac:dyDescent="0.25">
      <c r="A12" s="162"/>
      <c r="B12" s="112" t="s">
        <v>336</v>
      </c>
      <c r="C12" s="99" t="s">
        <v>45</v>
      </c>
      <c r="D12" s="78">
        <v>0.678817</v>
      </c>
      <c r="E12" s="78">
        <v>4.8578000000000003E-2</v>
      </c>
      <c r="F12" s="78">
        <v>2.1724E-2</v>
      </c>
      <c r="G12" s="78">
        <v>0.17243700000000001</v>
      </c>
      <c r="H12" s="78">
        <v>0.16331000000000001</v>
      </c>
      <c r="I12" s="79">
        <f t="shared" si="0"/>
        <v>-5.2929475692571781E-2</v>
      </c>
      <c r="J12" s="80">
        <f t="shared" si="1"/>
        <v>0.21697320000000003</v>
      </c>
      <c r="K12" s="79">
        <f t="shared" si="2"/>
        <v>-0.24732639791458122</v>
      </c>
      <c r="L12" s="95" t="s">
        <v>346</v>
      </c>
      <c r="M12" s="97" t="s">
        <v>345</v>
      </c>
    </row>
    <row r="13" spans="1:13" x14ac:dyDescent="0.25">
      <c r="A13" s="98" t="s">
        <v>64</v>
      </c>
      <c r="B13" s="86" t="s">
        <v>63</v>
      </c>
      <c r="C13" s="99" t="s">
        <v>45</v>
      </c>
      <c r="D13" s="78">
        <v>3.8138064000000003</v>
      </c>
      <c r="E13" s="78">
        <v>4.2599990700000001</v>
      </c>
      <c r="F13" s="78">
        <v>3.3358472300000002</v>
      </c>
      <c r="G13" s="78">
        <v>2.81155548</v>
      </c>
      <c r="H13" s="78">
        <v>3.8991612899999999</v>
      </c>
      <c r="I13" s="79">
        <f t="shared" si="0"/>
        <v>0.38683419827091581</v>
      </c>
      <c r="J13" s="80">
        <f t="shared" si="1"/>
        <v>3.6240738939999999</v>
      </c>
      <c r="K13" s="79">
        <f t="shared" si="2"/>
        <v>7.5905570373560272E-2</v>
      </c>
      <c r="L13" s="95" t="s">
        <v>346</v>
      </c>
      <c r="M13" s="97" t="s">
        <v>345</v>
      </c>
    </row>
    <row r="14" spans="1:13" x14ac:dyDescent="0.25">
      <c r="A14" s="98" t="s">
        <v>301</v>
      </c>
      <c r="B14" s="86" t="s">
        <v>63</v>
      </c>
      <c r="C14" s="99" t="s">
        <v>45</v>
      </c>
      <c r="D14" s="78">
        <f>+D9-D13</f>
        <v>-1.8886814000000003</v>
      </c>
      <c r="E14" s="78">
        <f t="shared" ref="E14:H14" si="3">+E9-E13</f>
        <v>-1.5236390700000002</v>
      </c>
      <c r="F14" s="78">
        <f t="shared" si="3"/>
        <v>-1.6087722300000002</v>
      </c>
      <c r="G14" s="78">
        <f t="shared" si="3"/>
        <v>-0.47465948000000013</v>
      </c>
      <c r="H14" s="78">
        <f t="shared" si="3"/>
        <v>-0.75402228999999998</v>
      </c>
      <c r="I14" s="79">
        <f t="shared" si="0"/>
        <v>0.58855415676096845</v>
      </c>
      <c r="J14" s="80">
        <f t="shared" si="1"/>
        <v>-1.249954894</v>
      </c>
      <c r="K14" s="79">
        <f t="shared" si="2"/>
        <v>-0.39676040021968983</v>
      </c>
      <c r="L14" s="95" t="s">
        <v>346</v>
      </c>
      <c r="M14" s="97" t="s">
        <v>345</v>
      </c>
    </row>
    <row r="15" spans="1:13" x14ac:dyDescent="0.25">
      <c r="A15" s="13" t="s">
        <v>294</v>
      </c>
    </row>
    <row r="16" spans="1:13" x14ac:dyDescent="0.25">
      <c r="A16" s="13" t="s">
        <v>308</v>
      </c>
    </row>
    <row r="17" spans="1:1" x14ac:dyDescent="0.25">
      <c r="A17" s="13" t="s">
        <v>271</v>
      </c>
    </row>
  </sheetData>
  <mergeCells count="1">
    <mergeCell ref="A9:A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28</vt:i4>
      </vt:variant>
    </vt:vector>
  </HeadingPairs>
  <TitlesOfParts>
    <vt:vector size="28" baseType="lpstr">
      <vt:lpstr>Cover Sheet</vt:lpstr>
      <vt:lpstr>Wheat</vt:lpstr>
      <vt:lpstr>Barley</vt:lpstr>
      <vt:lpstr>Rice</vt:lpstr>
      <vt:lpstr>Coarse Grains</vt:lpstr>
      <vt:lpstr>Pulses</vt:lpstr>
      <vt:lpstr>Oilseeds</vt:lpstr>
      <vt:lpstr>Cotton Lint</vt:lpstr>
      <vt:lpstr>Sugarcane</vt:lpstr>
      <vt:lpstr>Horticulture</vt:lpstr>
      <vt:lpstr>Wine</vt:lpstr>
      <vt:lpstr>Beef</vt:lpstr>
      <vt:lpstr>Sheep Meat</vt:lpstr>
      <vt:lpstr>Goat Meat</vt:lpstr>
      <vt:lpstr>Pork</vt:lpstr>
      <vt:lpstr>Poultry</vt:lpstr>
      <vt:lpstr>Wool</vt:lpstr>
      <vt:lpstr>Eggs</vt:lpstr>
      <vt:lpstr>Milk</vt:lpstr>
      <vt:lpstr>Forestry</vt:lpstr>
      <vt:lpstr>Fisheries</vt:lpstr>
      <vt:lpstr>Gross Value of Production</vt:lpstr>
      <vt:lpstr>Production</vt:lpstr>
      <vt:lpstr>Prices</vt:lpstr>
      <vt:lpstr>Exports</vt:lpstr>
      <vt:lpstr>Imports &amp; Trade Balance</vt:lpstr>
      <vt:lpstr>Employment &amp; Businesses</vt:lpstr>
      <vt:lpstr>Endnotes</vt:lpstr>
    </vt:vector>
  </TitlesOfParts>
  <Company>NSW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Niall Cummings</dc:creator>
  <cp:lastModifiedBy>Michael Rollin</cp:lastModifiedBy>
  <cp:lastPrinted>2023-11-08T05:59:31Z</cp:lastPrinted>
  <dcterms:created xsi:type="dcterms:W3CDTF">2021-09-27T10:49:57Z</dcterms:created>
  <dcterms:modified xsi:type="dcterms:W3CDTF">2023-11-16T07:10:07Z</dcterms:modified>
</cp:coreProperties>
</file>